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abilidade\CONTABILIDADE\04 - Demonstrações Financeiras\2021\2T21\"/>
    </mc:Choice>
  </mc:AlternateContent>
  <xr:revisionPtr revIDLastSave="0" documentId="13_ncr:1_{CDD6591E-6B79-4442-B1A0-D230098D0A19}" xr6:coauthVersionLast="47" xr6:coauthVersionMax="47" xr10:uidLastSave="{00000000-0000-0000-0000-000000000000}"/>
  <bookViews>
    <workbookView xWindow="-120" yWindow="-120" windowWidth="20730" windowHeight="11160" tabRatio="1000" firstSheet="1" activeTab="4" xr2:uid="{6B2A37C5-5F86-4770-96DD-AAC8EEDF1408}"/>
  </bookViews>
  <sheets>
    <sheet name="Covenants" sheetId="56" state="hidden" r:id="rId1"/>
    <sheet name="1 Operacionais" sheetId="1" r:id="rId2"/>
    <sheet name="2 Ativos" sheetId="3" r:id="rId3"/>
    <sheet name="3 Passivos" sheetId="4" r:id="rId4"/>
    <sheet name="4 DRE" sheetId="5" r:id="rId5"/>
    <sheet name="5 DFC" sheetId="6" r:id="rId6"/>
    <sheet name="Vendas Brutas" sheetId="43" state="hidden" r:id="rId7"/>
    <sheet name="Ticket médio MCMV" sheetId="12" state="hidden" r:id="rId8"/>
    <sheet name="Contratações" sheetId="41" state="hidden" r:id="rId9"/>
    <sheet name="4 gráficos (2)" sheetId="15" state="hidden" r:id="rId10"/>
    <sheet name="4 gráficos" sheetId="19" state="hidden" r:id="rId11"/>
    <sheet name="Despesas Comerciais" sheetId="22" state="hidden" r:id="rId12"/>
    <sheet name="Despesas Administrativas" sheetId="23" state="hidden" r:id="rId13"/>
  </sheets>
  <externalReferences>
    <externalReference r:id="rId14"/>
    <externalReference r:id="rId15"/>
    <externalReference r:id="rId16"/>
  </externalReferences>
  <definedNames>
    <definedName name="amarillo">[1]Hoja3!$F$6:$F$12</definedName>
    <definedName name="azul">[2]contar!$I$3:$L$10</definedName>
    <definedName name="comp">[1]Hoja8!$AP$7:$AP$40</definedName>
    <definedName name="dias">[1]Hoja7!$L$5:$L$38</definedName>
    <definedName name="gris">[1]Hoja7!$C$4:$C$12</definedName>
    <definedName name="mes">[1]Hoja3!$E$6:$E$39</definedName>
    <definedName name="mes_comp">[1]Hoja8!$AO$7:$AO$40</definedName>
    <definedName name="meses">'[2]sumar si conjunto'!$A$5:$A$14</definedName>
    <definedName name="productos">'[2]sumar si conjunto'!$B$5:$B$14</definedName>
    <definedName name="Radius">'[3]Velocimetros '!$AK$32</definedName>
    <definedName name="RANGE">[1]Hoja10!$V$4:$V$13</definedName>
    <definedName name="rango2">[1]Hoja11!$G$9:$G$17</definedName>
    <definedName name="totales">'[2]sumar si conjunto'!$C$5:$C$14</definedName>
    <definedName name="VACATIONS">[1]Hoja10!$K$7:$K$15</definedName>
    <definedName name="vacsem">'[1]diaslab x mes'!$N$26:$N$34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5" l="1"/>
  <c r="F18" i="5"/>
  <c r="F17" i="5"/>
  <c r="F11" i="5"/>
  <c r="F10" i="5"/>
  <c r="F9" i="5"/>
  <c r="F4" i="5"/>
  <c r="F3" i="5"/>
  <c r="B7" i="1"/>
  <c r="I3" i="43" l="1"/>
  <c r="H3" i="43"/>
  <c r="H2" i="43"/>
  <c r="I1" i="43"/>
  <c r="H1" i="43"/>
  <c r="E1" i="43"/>
  <c r="E3" i="43"/>
  <c r="C3" i="43"/>
  <c r="C2" i="43"/>
  <c r="B3" i="43"/>
  <c r="B2" i="43"/>
  <c r="I59" i="6"/>
  <c r="I60" i="6"/>
  <c r="I52" i="6"/>
  <c r="I51" i="6"/>
  <c r="I50" i="6"/>
  <c r="I49" i="6"/>
  <c r="I45" i="6"/>
  <c r="I44" i="6"/>
  <c r="I43" i="6"/>
  <c r="I42" i="6"/>
  <c r="I41" i="6"/>
  <c r="I40" i="6"/>
  <c r="I39" i="6"/>
  <c r="I38" i="6"/>
  <c r="I37" i="6"/>
  <c r="I36" i="6"/>
  <c r="I31" i="6"/>
  <c r="I30" i="6"/>
  <c r="I29" i="6"/>
  <c r="I28" i="6"/>
  <c r="I27" i="6"/>
  <c r="I26" i="6"/>
  <c r="I25" i="6"/>
  <c r="I24" i="6"/>
  <c r="I22" i="6"/>
  <c r="I21" i="6"/>
  <c r="I20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3" i="6"/>
  <c r="B24" i="5"/>
  <c r="B25" i="5" s="1"/>
  <c r="B18" i="5"/>
  <c r="B17" i="5"/>
  <c r="B19" i="5" s="1"/>
  <c r="B11" i="5"/>
  <c r="B10" i="5"/>
  <c r="B9" i="5"/>
  <c r="B12" i="5" s="1"/>
  <c r="B4" i="5"/>
  <c r="B3" i="5"/>
  <c r="B5" i="5" s="1"/>
  <c r="H6" i="5"/>
  <c r="H5" i="5"/>
  <c r="H12" i="5"/>
  <c r="H19" i="5"/>
  <c r="H25" i="5"/>
  <c r="H24" i="5"/>
  <c r="H18" i="5"/>
  <c r="H17" i="5"/>
  <c r="H11" i="5"/>
  <c r="H10" i="5"/>
  <c r="H9" i="5"/>
  <c r="H4" i="5"/>
  <c r="H3" i="5"/>
  <c r="N7" i="6"/>
  <c r="L7" i="6"/>
  <c r="G7" i="6"/>
  <c r="E7" i="6"/>
  <c r="B61" i="6"/>
  <c r="B53" i="6"/>
  <c r="B46" i="6"/>
  <c r="B18" i="6"/>
  <c r="B33" i="6" s="1"/>
  <c r="C25" i="5"/>
  <c r="C19" i="5"/>
  <c r="C12" i="5"/>
  <c r="C5" i="5"/>
  <c r="B25" i="4"/>
  <c r="B32" i="4"/>
  <c r="B36" i="4" s="1"/>
  <c r="B13" i="4"/>
  <c r="B23" i="3"/>
  <c r="B30" i="3" s="1"/>
  <c r="B10" i="3"/>
  <c r="B39" i="1"/>
  <c r="B17" i="1"/>
  <c r="B27" i="5" l="1"/>
  <c r="B28" i="5" s="1"/>
  <c r="B6" i="5"/>
  <c r="B14" i="5"/>
  <c r="B21" i="5"/>
  <c r="H14" i="5"/>
  <c r="H21" i="5" s="1"/>
  <c r="H27" i="5" s="1"/>
  <c r="H28" i="5" s="1"/>
  <c r="B55" i="6"/>
  <c r="C14" i="5"/>
  <c r="C21" i="5" s="1"/>
  <c r="C27" i="5" s="1"/>
  <c r="C28" i="5" s="1"/>
  <c r="C6" i="5"/>
  <c r="B38" i="4"/>
  <c r="B32" i="3"/>
  <c r="B18" i="1" l="1"/>
  <c r="B31" i="1" l="1"/>
  <c r="B29" i="1"/>
  <c r="B26" i="1"/>
  <c r="B19" i="1"/>
  <c r="E7" i="1" l="1"/>
  <c r="C1" i="43" l="1"/>
  <c r="B1" i="43"/>
  <c r="E31" i="6" l="1"/>
  <c r="G31" i="6"/>
  <c r="L31" i="6"/>
  <c r="N31" i="6"/>
  <c r="C61" i="6"/>
  <c r="C53" i="6"/>
  <c r="C46" i="6"/>
  <c r="C18" i="6"/>
  <c r="C33" i="6" s="1"/>
  <c r="F14" i="56"/>
  <c r="F6" i="56" s="1"/>
  <c r="C32" i="4"/>
  <c r="C36" i="4" s="1"/>
  <c r="C25" i="4"/>
  <c r="C13" i="4"/>
  <c r="F5" i="56" l="1"/>
  <c r="F7" i="56" s="1"/>
  <c r="C55" i="6"/>
  <c r="C38" i="4"/>
  <c r="C23" i="3" l="1"/>
  <c r="C30" i="3" s="1"/>
  <c r="C10" i="3"/>
  <c r="C7" i="1"/>
  <c r="C32" i="3" l="1"/>
  <c r="C17" i="1"/>
  <c r="D25" i="5" l="1"/>
  <c r="D19" i="5"/>
  <c r="D12" i="5"/>
  <c r="D5" i="5"/>
  <c r="H5" i="56"/>
  <c r="E14" i="56"/>
  <c r="E6" i="56" s="1"/>
  <c r="H6" i="56" s="1"/>
  <c r="D14" i="56"/>
  <c r="D6" i="56" s="1"/>
  <c r="C14" i="56"/>
  <c r="C6" i="56" s="1"/>
  <c r="B14" i="56"/>
  <c r="B6" i="56" s="1"/>
  <c r="L7" i="56"/>
  <c r="M5" i="56"/>
  <c r="M7" i="56" s="1"/>
  <c r="K5" i="56"/>
  <c r="K7" i="56" s="1"/>
  <c r="D14" i="5" l="1"/>
  <c r="D21" i="5" s="1"/>
  <c r="D27" i="5" s="1"/>
  <c r="D28" i="5" s="1"/>
  <c r="D6" i="5"/>
  <c r="H7" i="56"/>
  <c r="J7" i="56"/>
  <c r="E7" i="56"/>
  <c r="D7" i="56"/>
  <c r="C7" i="56"/>
  <c r="B7" i="56"/>
  <c r="S26" i="1" l="1"/>
  <c r="R26" i="1"/>
  <c r="Q26" i="1"/>
  <c r="P26" i="1"/>
  <c r="O26" i="1"/>
  <c r="N26" i="1"/>
  <c r="M26" i="1"/>
  <c r="L26" i="1"/>
  <c r="K26" i="1"/>
  <c r="J26" i="1"/>
  <c r="I26" i="1"/>
  <c r="H26" i="1"/>
  <c r="D3" i="43" l="1"/>
  <c r="A3" i="43"/>
  <c r="A2" i="43"/>
  <c r="F3" i="43" l="1"/>
  <c r="S19" i="1" l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C18" i="41"/>
  <c r="C17" i="41"/>
  <c r="C16" i="41"/>
  <c r="C15" i="41"/>
  <c r="C14" i="41"/>
  <c r="C13" i="41"/>
  <c r="C12" i="41"/>
  <c r="C11" i="41"/>
  <c r="C10" i="41"/>
  <c r="C9" i="41"/>
  <c r="C8" i="41"/>
  <c r="C7" i="41"/>
  <c r="B17" i="41"/>
  <c r="B14" i="41"/>
  <c r="S29" i="1"/>
  <c r="R29" i="1"/>
  <c r="Q29" i="1"/>
  <c r="P29" i="1"/>
  <c r="O29" i="1"/>
  <c r="M29" i="1"/>
  <c r="B9" i="12" s="1"/>
  <c r="L29" i="1"/>
  <c r="B10" i="12" s="1"/>
  <c r="K29" i="1"/>
  <c r="B11" i="12" s="1"/>
  <c r="J29" i="1"/>
  <c r="B12" i="12" s="1"/>
  <c r="H29" i="1"/>
  <c r="Z36" i="15"/>
  <c r="AA35" i="15"/>
  <c r="AA36" i="15" s="1"/>
  <c r="Z35" i="15"/>
  <c r="AA28" i="15"/>
  <c r="AA27" i="15"/>
  <c r="B13" i="12" l="1"/>
  <c r="E5" i="5"/>
  <c r="L30" i="6" l="1"/>
  <c r="L29" i="6"/>
  <c r="L28" i="6"/>
  <c r="L27" i="6"/>
  <c r="L26" i="6"/>
  <c r="L25" i="6"/>
  <c r="O61" i="6"/>
  <c r="M61" i="6"/>
  <c r="K61" i="6"/>
  <c r="J61" i="6"/>
  <c r="I61" i="6"/>
  <c r="H61" i="6"/>
  <c r="F61" i="6"/>
  <c r="O53" i="6"/>
  <c r="M53" i="6"/>
  <c r="K53" i="6"/>
  <c r="J53" i="6"/>
  <c r="I53" i="6"/>
  <c r="H53" i="6"/>
  <c r="F53" i="6"/>
  <c r="O46" i="6"/>
  <c r="M46" i="6"/>
  <c r="K46" i="6"/>
  <c r="J46" i="6"/>
  <c r="I46" i="6"/>
  <c r="H46" i="6"/>
  <c r="F46" i="6"/>
  <c r="O18" i="6"/>
  <c r="O33" i="6" s="1"/>
  <c r="M18" i="6"/>
  <c r="M33" i="6" s="1"/>
  <c r="K18" i="6"/>
  <c r="K33" i="6" s="1"/>
  <c r="J18" i="6"/>
  <c r="J33" i="6" s="1"/>
  <c r="I18" i="6"/>
  <c r="I33" i="6" s="1"/>
  <c r="H18" i="6"/>
  <c r="H33" i="6" s="1"/>
  <c r="F18" i="6"/>
  <c r="F33" i="6" s="1"/>
  <c r="G3" i="6"/>
  <c r="G5" i="6"/>
  <c r="G6" i="6"/>
  <c r="G9" i="6"/>
  <c r="G10" i="6"/>
  <c r="G11" i="6"/>
  <c r="G12" i="6"/>
  <c r="G13" i="6"/>
  <c r="G14" i="6"/>
  <c r="G15" i="6"/>
  <c r="G16" i="6"/>
  <c r="G17" i="6"/>
  <c r="G20" i="6"/>
  <c r="G21" i="6"/>
  <c r="G22" i="6"/>
  <c r="G24" i="6"/>
  <c r="G25" i="6"/>
  <c r="G26" i="6"/>
  <c r="G27" i="6"/>
  <c r="G28" i="6"/>
  <c r="G29" i="6"/>
  <c r="G30" i="6"/>
  <c r="G32" i="6"/>
  <c r="G36" i="6"/>
  <c r="G37" i="6"/>
  <c r="G38" i="6"/>
  <c r="G39" i="6"/>
  <c r="G40" i="6"/>
  <c r="G42" i="6"/>
  <c r="G43" i="6"/>
  <c r="G44" i="6"/>
  <c r="G45" i="6"/>
  <c r="G49" i="6"/>
  <c r="G50" i="6"/>
  <c r="G51" i="6"/>
  <c r="G52" i="6"/>
  <c r="G59" i="6"/>
  <c r="G60" i="6"/>
  <c r="N52" i="6"/>
  <c r="N45" i="6"/>
  <c r="N44" i="6"/>
  <c r="N43" i="6"/>
  <c r="N42" i="6"/>
  <c r="N40" i="6"/>
  <c r="N39" i="6"/>
  <c r="N37" i="6"/>
  <c r="N32" i="6"/>
  <c r="N29" i="6"/>
  <c r="N28" i="6"/>
  <c r="N17" i="6"/>
  <c r="N16" i="6"/>
  <c r="N15" i="6"/>
  <c r="N14" i="6"/>
  <c r="N12" i="6"/>
  <c r="N11" i="6"/>
  <c r="N10" i="6"/>
  <c r="N9" i="6"/>
  <c r="N6" i="6"/>
  <c r="N5" i="6"/>
  <c r="N3" i="6"/>
  <c r="N60" i="6"/>
  <c r="N59" i="6"/>
  <c r="N51" i="6"/>
  <c r="N50" i="6"/>
  <c r="N49" i="6"/>
  <c r="N38" i="6"/>
  <c r="N36" i="6"/>
  <c r="N27" i="6"/>
  <c r="N26" i="6"/>
  <c r="N25" i="6"/>
  <c r="N24" i="6"/>
  <c r="N30" i="6"/>
  <c r="N22" i="6"/>
  <c r="N21" i="6"/>
  <c r="N20" i="6"/>
  <c r="O55" i="6" l="1"/>
  <c r="H55" i="6"/>
  <c r="J55" i="6"/>
  <c r="I55" i="6"/>
  <c r="F55" i="6"/>
  <c r="N61" i="6"/>
  <c r="G61" i="6"/>
  <c r="G18" i="6"/>
  <c r="G33" i="6" s="1"/>
  <c r="G46" i="6"/>
  <c r="K55" i="6"/>
  <c r="G53" i="6"/>
  <c r="M55" i="6"/>
  <c r="N46" i="6"/>
  <c r="N53" i="6"/>
  <c r="N13" i="6"/>
  <c r="N18" i="6" s="1"/>
  <c r="N33" i="6" s="1"/>
  <c r="N55" i="6" l="1"/>
  <c r="G55" i="6"/>
  <c r="L60" i="6"/>
  <c r="L59" i="6"/>
  <c r="L49" i="6"/>
  <c r="L50" i="6"/>
  <c r="L51" i="6"/>
  <c r="L52" i="6"/>
  <c r="L38" i="6"/>
  <c r="L39" i="6"/>
  <c r="L40" i="6"/>
  <c r="L42" i="6"/>
  <c r="L43" i="6"/>
  <c r="L44" i="6"/>
  <c r="L45" i="6"/>
  <c r="L37" i="6"/>
  <c r="L36" i="6"/>
  <c r="L24" i="6"/>
  <c r="L22" i="6"/>
  <c r="L21" i="6"/>
  <c r="L20" i="6"/>
  <c r="L17" i="6"/>
  <c r="L16" i="6"/>
  <c r="L15" i="6"/>
  <c r="L14" i="6"/>
  <c r="L13" i="6"/>
  <c r="L12" i="6"/>
  <c r="L11" i="6"/>
  <c r="L10" i="6"/>
  <c r="L9" i="6"/>
  <c r="L6" i="6"/>
  <c r="L5" i="6"/>
  <c r="L3" i="6"/>
  <c r="E60" i="6"/>
  <c r="E59" i="6"/>
  <c r="E52" i="6"/>
  <c r="E51" i="6"/>
  <c r="E50" i="6"/>
  <c r="E49" i="6"/>
  <c r="E39" i="6"/>
  <c r="E40" i="6"/>
  <c r="E42" i="6"/>
  <c r="E43" i="6"/>
  <c r="E44" i="6"/>
  <c r="E45" i="6"/>
  <c r="E38" i="6"/>
  <c r="E37" i="6"/>
  <c r="E36" i="6"/>
  <c r="E30" i="6"/>
  <c r="E29" i="6"/>
  <c r="E28" i="6"/>
  <c r="E27" i="6"/>
  <c r="E26" i="6"/>
  <c r="E24" i="6"/>
  <c r="E25" i="6"/>
  <c r="E22" i="6"/>
  <c r="E21" i="6"/>
  <c r="E20" i="6"/>
  <c r="E17" i="6"/>
  <c r="E16" i="6"/>
  <c r="E15" i="6"/>
  <c r="E14" i="6"/>
  <c r="E13" i="6"/>
  <c r="E12" i="6"/>
  <c r="E11" i="6"/>
  <c r="E10" i="6"/>
  <c r="E9" i="6"/>
  <c r="E6" i="6"/>
  <c r="E5" i="6"/>
  <c r="E3" i="6"/>
  <c r="L61" i="6" l="1"/>
  <c r="L53" i="6"/>
  <c r="E61" i="6"/>
  <c r="E53" i="6"/>
  <c r="L46" i="6"/>
  <c r="E18" i="6"/>
  <c r="E33" i="6" s="1"/>
  <c r="L18" i="6"/>
  <c r="E46" i="6"/>
  <c r="L33" i="6" l="1"/>
  <c r="L55" i="6" s="1"/>
  <c r="E55" i="6"/>
  <c r="D61" i="6"/>
  <c r="D53" i="6"/>
  <c r="D46" i="6"/>
  <c r="D18" i="6"/>
  <c r="D33" i="6" s="1"/>
  <c r="V5" i="5"/>
  <c r="V12" i="5"/>
  <c r="V19" i="5"/>
  <c r="V25" i="5"/>
  <c r="T5" i="5"/>
  <c r="T14" i="5" s="1"/>
  <c r="T12" i="5"/>
  <c r="T19" i="5"/>
  <c r="T25" i="5"/>
  <c r="D25" i="4"/>
  <c r="E25" i="5"/>
  <c r="E19" i="5"/>
  <c r="E12" i="5"/>
  <c r="D13" i="4"/>
  <c r="D32" i="4"/>
  <c r="D36" i="4" s="1"/>
  <c r="D23" i="3"/>
  <c r="D30" i="3" s="1"/>
  <c r="D10" i="3"/>
  <c r="Y25" i="5"/>
  <c r="X25" i="5"/>
  <c r="R25" i="5"/>
  <c r="K25" i="5"/>
  <c r="J25" i="5"/>
  <c r="I25" i="5"/>
  <c r="G25" i="5"/>
  <c r="W24" i="5"/>
  <c r="W25" i="5" s="1"/>
  <c r="U24" i="5"/>
  <c r="U25" i="5" s="1"/>
  <c r="S24" i="5"/>
  <c r="S25" i="5" s="1"/>
  <c r="P24" i="5"/>
  <c r="P25" i="5" s="1"/>
  <c r="N24" i="5"/>
  <c r="N25" i="5" s="1"/>
  <c r="Y19" i="5"/>
  <c r="X19" i="5"/>
  <c r="R19" i="5"/>
  <c r="K19" i="5"/>
  <c r="J19" i="5"/>
  <c r="I19" i="5"/>
  <c r="G19" i="5"/>
  <c r="W18" i="5"/>
  <c r="U18" i="5"/>
  <c r="S18" i="5"/>
  <c r="P18" i="5"/>
  <c r="N18" i="5"/>
  <c r="W17" i="5"/>
  <c r="U17" i="5"/>
  <c r="S17" i="5"/>
  <c r="P17" i="5"/>
  <c r="N17" i="5"/>
  <c r="Y12" i="5"/>
  <c r="X12" i="5"/>
  <c r="R12" i="5"/>
  <c r="K12" i="5"/>
  <c r="J12" i="5"/>
  <c r="I12" i="5"/>
  <c r="G12" i="5"/>
  <c r="W11" i="5"/>
  <c r="U11" i="5"/>
  <c r="S11" i="5"/>
  <c r="P11" i="5"/>
  <c r="N11" i="5"/>
  <c r="W10" i="5"/>
  <c r="U10" i="5"/>
  <c r="S10" i="5"/>
  <c r="P10" i="5"/>
  <c r="N10" i="5"/>
  <c r="W9" i="5"/>
  <c r="U9" i="5"/>
  <c r="S9" i="5"/>
  <c r="P9" i="5"/>
  <c r="N9" i="5"/>
  <c r="Y5" i="5"/>
  <c r="Y6" i="5" s="1"/>
  <c r="X5" i="5"/>
  <c r="R5" i="5"/>
  <c r="K5" i="5"/>
  <c r="J5" i="5"/>
  <c r="I5" i="5"/>
  <c r="G5" i="5"/>
  <c r="W4" i="5"/>
  <c r="U4" i="5"/>
  <c r="S4" i="5"/>
  <c r="P4" i="5"/>
  <c r="N4" i="5"/>
  <c r="W3" i="5"/>
  <c r="U3" i="5"/>
  <c r="S3" i="5"/>
  <c r="S5" i="5" s="1"/>
  <c r="P3" i="5"/>
  <c r="N3" i="5"/>
  <c r="P32" i="4"/>
  <c r="P36" i="4" s="1"/>
  <c r="O32" i="4"/>
  <c r="O36" i="4" s="1"/>
  <c r="N32" i="4"/>
  <c r="N36" i="4" s="1"/>
  <c r="M32" i="4"/>
  <c r="M36" i="4" s="1"/>
  <c r="L32" i="4"/>
  <c r="L36" i="4" s="1"/>
  <c r="K32" i="4"/>
  <c r="K36" i="4" s="1"/>
  <c r="J32" i="4"/>
  <c r="J36" i="4" s="1"/>
  <c r="I32" i="4"/>
  <c r="I36" i="4" s="1"/>
  <c r="H32" i="4"/>
  <c r="H36" i="4" s="1"/>
  <c r="G32" i="4"/>
  <c r="G36" i="4" s="1"/>
  <c r="F32" i="4"/>
  <c r="F36" i="4" s="1"/>
  <c r="E32" i="4"/>
  <c r="E36" i="4" s="1"/>
  <c r="P25" i="4"/>
  <c r="O25" i="4"/>
  <c r="N25" i="4"/>
  <c r="M25" i="4"/>
  <c r="L25" i="4"/>
  <c r="K25" i="4"/>
  <c r="J25" i="4"/>
  <c r="I25" i="4"/>
  <c r="H25" i="4"/>
  <c r="G25" i="4"/>
  <c r="F25" i="4"/>
  <c r="E25" i="4"/>
  <c r="P13" i="4"/>
  <c r="O13" i="4"/>
  <c r="N13" i="4"/>
  <c r="M13" i="4"/>
  <c r="L13" i="4"/>
  <c r="K13" i="4"/>
  <c r="J13" i="4"/>
  <c r="I13" i="4"/>
  <c r="H13" i="4"/>
  <c r="G13" i="4"/>
  <c r="F13" i="4"/>
  <c r="E13" i="4"/>
  <c r="P23" i="3"/>
  <c r="P30" i="3" s="1"/>
  <c r="P32" i="3" s="1"/>
  <c r="O23" i="3"/>
  <c r="O30" i="3" s="1"/>
  <c r="N23" i="3"/>
  <c r="N30" i="3" s="1"/>
  <c r="N32" i="3" s="1"/>
  <c r="M23" i="3"/>
  <c r="M30" i="3" s="1"/>
  <c r="L23" i="3"/>
  <c r="L30" i="3" s="1"/>
  <c r="K23" i="3"/>
  <c r="K30" i="3" s="1"/>
  <c r="J23" i="3"/>
  <c r="J30" i="3" s="1"/>
  <c r="I23" i="3"/>
  <c r="I30" i="3" s="1"/>
  <c r="H23" i="3"/>
  <c r="H30" i="3" s="1"/>
  <c r="H32" i="3" s="1"/>
  <c r="G23" i="3"/>
  <c r="G30" i="3" s="1"/>
  <c r="F23" i="3"/>
  <c r="F30" i="3" s="1"/>
  <c r="F32" i="3" s="1"/>
  <c r="E23" i="3"/>
  <c r="E30" i="3" s="1"/>
  <c r="P10" i="3"/>
  <c r="O10" i="3"/>
  <c r="N10" i="3"/>
  <c r="M10" i="3"/>
  <c r="L10" i="3"/>
  <c r="K10" i="3"/>
  <c r="J10" i="3"/>
  <c r="I10" i="3"/>
  <c r="H10" i="3"/>
  <c r="G10" i="3"/>
  <c r="F10" i="3"/>
  <c r="E10" i="3"/>
  <c r="F25" i="5" l="1"/>
  <c r="V14" i="5"/>
  <c r="V21" i="5" s="1"/>
  <c r="V27" i="5" s="1"/>
  <c r="V28" i="5" s="1"/>
  <c r="I32" i="3"/>
  <c r="G32" i="3"/>
  <c r="H38" i="4"/>
  <c r="L38" i="4"/>
  <c r="M38" i="4"/>
  <c r="F38" i="4"/>
  <c r="N38" i="4"/>
  <c r="O38" i="4"/>
  <c r="P38" i="4"/>
  <c r="K38" i="4"/>
  <c r="J32" i="3"/>
  <c r="K32" i="3"/>
  <c r="L32" i="3"/>
  <c r="E32" i="3"/>
  <c r="M32" i="3"/>
  <c r="O32" i="3"/>
  <c r="I6" i="5"/>
  <c r="V6" i="5"/>
  <c r="T21" i="5"/>
  <c r="T27" i="5" s="1"/>
  <c r="T28" i="5" s="1"/>
  <c r="X14" i="5"/>
  <c r="T6" i="5"/>
  <c r="D55" i="6"/>
  <c r="M28" i="5"/>
  <c r="P19" i="5"/>
  <c r="O28" i="5"/>
  <c r="W19" i="5"/>
  <c r="U5" i="5"/>
  <c r="X6" i="5"/>
  <c r="J14" i="5"/>
  <c r="J21" i="5" s="1"/>
  <c r="J27" i="5" s="1"/>
  <c r="J28" i="5" s="1"/>
  <c r="W12" i="5"/>
  <c r="K14" i="5"/>
  <c r="F19" i="5"/>
  <c r="F12" i="5"/>
  <c r="F5" i="5"/>
  <c r="W5" i="5"/>
  <c r="E14" i="5"/>
  <c r="E21" i="5" s="1"/>
  <c r="E27" i="5" s="1"/>
  <c r="E28" i="5" s="1"/>
  <c r="N12" i="5"/>
  <c r="S19" i="5"/>
  <c r="E6" i="5"/>
  <c r="N5" i="5"/>
  <c r="J6" i="5"/>
  <c r="P12" i="5"/>
  <c r="U19" i="5"/>
  <c r="P5" i="5"/>
  <c r="K6" i="5"/>
  <c r="R14" i="5"/>
  <c r="R21" i="5" s="1"/>
  <c r="R27" i="5" s="1"/>
  <c r="R28" i="5" s="1"/>
  <c r="U12" i="5"/>
  <c r="S12" i="5"/>
  <c r="S14" i="5" s="1"/>
  <c r="S21" i="5" s="1"/>
  <c r="S27" i="5" s="1"/>
  <c r="S28" i="5" s="1"/>
  <c r="R6" i="5"/>
  <c r="N19" i="5"/>
  <c r="G14" i="5"/>
  <c r="G21" i="5" s="1"/>
  <c r="G27" i="5" s="1"/>
  <c r="G28" i="5" s="1"/>
  <c r="G6" i="5"/>
  <c r="D32" i="3"/>
  <c r="D38" i="4"/>
  <c r="G38" i="4"/>
  <c r="I38" i="4"/>
  <c r="E38" i="4"/>
  <c r="J38" i="4"/>
  <c r="K21" i="5"/>
  <c r="K27" i="5" s="1"/>
  <c r="K28" i="5" s="1"/>
  <c r="X21" i="5"/>
  <c r="X27" i="5" s="1"/>
  <c r="X28" i="5" s="1"/>
  <c r="S6" i="5"/>
  <c r="I14" i="5"/>
  <c r="I21" i="5" s="1"/>
  <c r="I27" i="5" s="1"/>
  <c r="I28" i="5" s="1"/>
  <c r="Q28" i="5"/>
  <c r="Y14" i="5"/>
  <c r="Y21" i="5" s="1"/>
  <c r="Y27" i="5" s="1"/>
  <c r="Y28" i="5" s="1"/>
  <c r="F6" i="5" l="1"/>
  <c r="W6" i="5"/>
  <c r="U14" i="5"/>
  <c r="U6" i="5"/>
  <c r="W14" i="5"/>
  <c r="W21" i="5" s="1"/>
  <c r="W27" i="5" s="1"/>
  <c r="W28" i="5" s="1"/>
  <c r="N14" i="5"/>
  <c r="N21" i="5" s="1"/>
  <c r="N27" i="5" s="1"/>
  <c r="N28" i="5" s="1"/>
  <c r="P6" i="5"/>
  <c r="N6" i="5"/>
  <c r="U21" i="5"/>
  <c r="U27" i="5" s="1"/>
  <c r="U28" i="5" s="1"/>
  <c r="P14" i="5"/>
  <c r="P21" i="5" s="1"/>
  <c r="P27" i="5" s="1"/>
  <c r="P28" i="5" s="1"/>
  <c r="F14" i="5"/>
  <c r="F21" i="5" s="1"/>
  <c r="F27" i="5" s="1"/>
  <c r="F28" i="5" s="1"/>
  <c r="L28" i="5"/>
  <c r="D30" i="1" l="1"/>
  <c r="D42" i="1"/>
  <c r="I42" i="1"/>
  <c r="N42" i="1"/>
  <c r="D13" i="1"/>
  <c r="C13" i="1" s="1"/>
  <c r="D12" i="1"/>
  <c r="C12" i="1" s="1"/>
  <c r="D11" i="1"/>
  <c r="C11" i="1" s="1"/>
  <c r="D10" i="1"/>
  <c r="C10" i="1" s="1"/>
  <c r="D6" i="1"/>
  <c r="D5" i="1"/>
  <c r="D4" i="1"/>
  <c r="D7" i="1" l="1"/>
  <c r="D18" i="1"/>
  <c r="D16" i="1"/>
  <c r="D23" i="1"/>
  <c r="D28" i="1"/>
  <c r="C31" i="1" s="1"/>
  <c r="D35" i="1"/>
  <c r="E34" i="1"/>
  <c r="E27" i="1"/>
  <c r="E29" i="1" l="1"/>
  <c r="B18" i="41"/>
  <c r="E22" i="1"/>
  <c r="E26" i="1" l="1"/>
  <c r="B16" i="12"/>
  <c r="D39" i="1"/>
  <c r="D31" i="1"/>
  <c r="E31" i="1"/>
  <c r="R34" i="1" l="1"/>
  <c r="Q34" i="1"/>
  <c r="P34" i="1"/>
  <c r="O34" i="1"/>
  <c r="M34" i="1"/>
  <c r="L34" i="1"/>
  <c r="K34" i="1"/>
  <c r="H34" i="1"/>
  <c r="G34" i="1"/>
  <c r="I35" i="1"/>
  <c r="N35" i="1"/>
  <c r="N39" i="1"/>
  <c r="B11" i="41" l="1"/>
  <c r="B7" i="41"/>
  <c r="B9" i="41"/>
  <c r="B8" i="41"/>
  <c r="B15" i="41"/>
  <c r="B12" i="41"/>
  <c r="B10" i="41"/>
  <c r="B16" i="41"/>
  <c r="B13" i="41"/>
  <c r="N34" i="1"/>
  <c r="I34" i="1"/>
  <c r="D34" i="1"/>
  <c r="I39" i="1"/>
  <c r="F5" i="1" l="1"/>
  <c r="F17" i="1" l="1"/>
  <c r="F19" i="1" l="1"/>
  <c r="D17" i="1"/>
  <c r="C19" i="1" s="1"/>
  <c r="F27" i="1"/>
  <c r="F22" i="1"/>
  <c r="F26" i="1" l="1"/>
  <c r="D2" i="43"/>
  <c r="F29" i="1"/>
  <c r="D19" i="1"/>
  <c r="F31" i="1"/>
  <c r="B15" i="12" l="1"/>
  <c r="G31" i="1"/>
  <c r="N28" i="1" l="1"/>
  <c r="N29" i="1" s="1"/>
  <c r="I28" i="1"/>
  <c r="I29" i="1" l="1"/>
  <c r="J3" i="43"/>
  <c r="G22" i="1"/>
  <c r="E2" i="43" s="1"/>
  <c r="F2" i="43" s="1"/>
  <c r="G27" i="1"/>
  <c r="G26" i="1" l="1"/>
  <c r="I2" i="43"/>
  <c r="D22" i="1"/>
  <c r="G29" i="1"/>
  <c r="B14" i="12" s="1"/>
  <c r="D27" i="1"/>
  <c r="I31" i="1"/>
  <c r="H31" i="1"/>
  <c r="R31" i="1"/>
  <c r="J31" i="1"/>
  <c r="K31" i="1"/>
  <c r="L31" i="1"/>
  <c r="M31" i="1"/>
  <c r="N31" i="1"/>
  <c r="O31" i="1"/>
  <c r="P31" i="1"/>
  <c r="Q31" i="1"/>
  <c r="S31" i="1"/>
  <c r="D26" i="1" l="1"/>
  <c r="J2" i="43"/>
  <c r="D29" i="1"/>
  <c r="C26" i="1" l="1"/>
  <c r="C29" i="1"/>
</calcChain>
</file>

<file path=xl/sharedStrings.xml><?xml version="1.0" encoding="utf-8"?>
<sst xmlns="http://schemas.openxmlformats.org/spreadsheetml/2006/main" count="310" uniqueCount="194">
  <si>
    <t>Dados Operacionais</t>
  </si>
  <si>
    <t>1T20</t>
  </si>
  <si>
    <t>Número de empreendimentos</t>
  </si>
  <si>
    <t>Unidades</t>
  </si>
  <si>
    <t>Unidades por projeto</t>
  </si>
  <si>
    <t>Distribuição Geográfica - (%)</t>
  </si>
  <si>
    <t>Zona da Mata</t>
  </si>
  <si>
    <t>Interior SP</t>
  </si>
  <si>
    <t>Triângulo Mineiro</t>
  </si>
  <si>
    <t>Unidades lançadas</t>
  </si>
  <si>
    <t xml:space="preserve">Unidades vendidas </t>
  </si>
  <si>
    <t>2019</t>
  </si>
  <si>
    <t>4T19</t>
  </si>
  <si>
    <t>3T19</t>
  </si>
  <si>
    <t>2T19</t>
  </si>
  <si>
    <t>1T19</t>
  </si>
  <si>
    <t>2018</t>
  </si>
  <si>
    <t>4T18</t>
  </si>
  <si>
    <t>3T18</t>
  </si>
  <si>
    <t>2T18</t>
  </si>
  <si>
    <t>1T18</t>
  </si>
  <si>
    <t>2017</t>
  </si>
  <si>
    <t>Landbank</t>
  </si>
  <si>
    <t>Landbank (em R$ mil)</t>
  </si>
  <si>
    <t>Outras regiões</t>
  </si>
  <si>
    <t>VGV Lançado (em R$ mil)</t>
  </si>
  <si>
    <t>Lançamentos</t>
  </si>
  <si>
    <t>Vendas Bruta</t>
  </si>
  <si>
    <t>Vendas Líquidas</t>
  </si>
  <si>
    <t xml:space="preserve">Estoque </t>
  </si>
  <si>
    <t>2T20</t>
  </si>
  <si>
    <t>3T20</t>
  </si>
  <si>
    <t>VSO (vendas sobre oferta)</t>
  </si>
  <si>
    <t>Contratações</t>
  </si>
  <si>
    <t>VGV Contratado</t>
  </si>
  <si>
    <t xml:space="preserve">Unidades </t>
  </si>
  <si>
    <t>4T20</t>
  </si>
  <si>
    <t>2020</t>
  </si>
  <si>
    <t>Entregues</t>
  </si>
  <si>
    <t>Ativos (R$ mil)</t>
  </si>
  <si>
    <t>Ativos circulantes</t>
  </si>
  <si>
    <t xml:space="preserve">   Caixa e equivalentes de caixa</t>
  </si>
  <si>
    <t xml:space="preserve">   Títulos e valores mobiliários</t>
  </si>
  <si>
    <t xml:space="preserve">   Contas a receber de clientes</t>
  </si>
  <si>
    <t xml:space="preserve">   Estoques (imóveis a comercializar)</t>
  </si>
  <si>
    <t xml:space="preserve">   Outros ativos circulantes</t>
  </si>
  <si>
    <t>Total dos ativos circulantes</t>
  </si>
  <si>
    <t>Ativos mantidos para venda</t>
  </si>
  <si>
    <t>Ativos não circulantes</t>
  </si>
  <si>
    <t>Realizável a longo prazo:</t>
  </si>
  <si>
    <t xml:space="preserve">    Estoques (imóveis a comercializar) </t>
  </si>
  <si>
    <t xml:space="preserve">    Contas a receber de clientes</t>
  </si>
  <si>
    <t xml:space="preserve">    Títulos e valores mobiliários </t>
  </si>
  <si>
    <t xml:space="preserve">    Valores a receber de partes relacionadas</t>
  </si>
  <si>
    <t xml:space="preserve">    Depósitos judiciais</t>
  </si>
  <si>
    <t xml:space="preserve">    Outros ativos não circulantes</t>
  </si>
  <si>
    <t>Total do realizável a longo prazo</t>
  </si>
  <si>
    <t xml:space="preserve">  Propriedade para investimento</t>
  </si>
  <si>
    <t xml:space="preserve">  Investimento</t>
  </si>
  <si>
    <t xml:space="preserve">  Imobilizado </t>
  </si>
  <si>
    <t xml:space="preserve">  Intangivel</t>
  </si>
  <si>
    <t xml:space="preserve">  Direito de uso</t>
  </si>
  <si>
    <t>Total dos ativos não circulantes</t>
  </si>
  <si>
    <t>Total dos ativos</t>
  </si>
  <si>
    <t>Passivos e patrimônio líquido (R$ mil)</t>
  </si>
  <si>
    <t>Passivos circulantes</t>
  </si>
  <si>
    <t xml:space="preserve">  Fornecedores</t>
  </si>
  <si>
    <t xml:space="preserve">  Empréstimos, financiamentos e debêntures</t>
  </si>
  <si>
    <t xml:space="preserve">  Obrigações sociais e trabalhistas</t>
  </si>
  <si>
    <t xml:space="preserve">  Obrigações fiscais</t>
  </si>
  <si>
    <t xml:space="preserve">  Dividendos Obrigatórios a Pagar</t>
  </si>
  <si>
    <t xml:space="preserve">  Adiantamentos de clientes</t>
  </si>
  <si>
    <t xml:space="preserve">  Obrigações com terceiros</t>
  </si>
  <si>
    <t xml:space="preserve">  Provisão para Garantias</t>
  </si>
  <si>
    <t xml:space="preserve">  Outros passivos circulantes</t>
  </si>
  <si>
    <t>Total dos passivos circulantes</t>
  </si>
  <si>
    <t>Passivos associados a ativos mantidos para venda</t>
  </si>
  <si>
    <t>Passivos não circulantes</t>
  </si>
  <si>
    <t xml:space="preserve">   Obrigações com terceiros </t>
  </si>
  <si>
    <t xml:space="preserve">   Adiantamentos de clientes </t>
  </si>
  <si>
    <t xml:space="preserve">   Empréstimos, financiamentos e debêntures </t>
  </si>
  <si>
    <t xml:space="preserve">   Provisão para Garantias </t>
  </si>
  <si>
    <t xml:space="preserve">   Provisão para contingência</t>
  </si>
  <si>
    <t xml:space="preserve">   Obrigações com partes relacionadas </t>
  </si>
  <si>
    <t>Total dos passivos não circulantes</t>
  </si>
  <si>
    <t>Patrimônio líquido</t>
  </si>
  <si>
    <t xml:space="preserve">  Capital social</t>
  </si>
  <si>
    <t xml:space="preserve">  Reservas de lucros</t>
  </si>
  <si>
    <t xml:space="preserve">  Lucros (prejuízos) acumulados</t>
  </si>
  <si>
    <t>Patrimônio líquido dos acionistas da controladora</t>
  </si>
  <si>
    <t>Participação dos acionistas não controladores</t>
  </si>
  <si>
    <t>Total do patrimônio líquido</t>
  </si>
  <si>
    <t>Total dos passivos e patrimônio líquido</t>
  </si>
  <si>
    <t>DEMONSTRAÇÕES DOS RESULTADOS</t>
  </si>
  <si>
    <t>9M19</t>
  </si>
  <si>
    <t>6M19</t>
  </si>
  <si>
    <t>9M18</t>
  </si>
  <si>
    <t>6M18</t>
  </si>
  <si>
    <t>Receita operacional líquida</t>
  </si>
  <si>
    <t>Custo dos imóveis vendidos</t>
  </si>
  <si>
    <t>Lucro bruto</t>
  </si>
  <si>
    <t>Margem bruta</t>
  </si>
  <si>
    <t>Receitas (despesas) operacionais:</t>
  </si>
  <si>
    <t xml:space="preserve">  Despesas com vendas</t>
  </si>
  <si>
    <t xml:space="preserve">  Despesas gerais e administrativas</t>
  </si>
  <si>
    <t xml:space="preserve">  Outras despesas operacionais, líquidas</t>
  </si>
  <si>
    <t>Lucro operacional antes do resultado financeiro e impostos:</t>
  </si>
  <si>
    <t>Resultado financeiro, líquido:</t>
  </si>
  <si>
    <t xml:space="preserve">  Receitas financeiras</t>
  </si>
  <si>
    <t xml:space="preserve">  Despesas financeiras</t>
  </si>
  <si>
    <t>Lucro operacional antes dos impostos:</t>
  </si>
  <si>
    <t>Imposto de renda e contribuição social</t>
  </si>
  <si>
    <t xml:space="preserve">  Corrente e diferido</t>
  </si>
  <si>
    <t>Lucro líquido do período</t>
  </si>
  <si>
    <t>Margem líquida</t>
  </si>
  <si>
    <t>Fluxos de caixa das atividades operacionais:</t>
  </si>
  <si>
    <t>Ajustes de:</t>
  </si>
  <si>
    <t>Depreciações e amortizações</t>
  </si>
  <si>
    <t xml:space="preserve">Perdas por redução ao valor recuperável das contas a receber </t>
  </si>
  <si>
    <t>Provisão para contingências</t>
  </si>
  <si>
    <t>Realização de custos de captação de debêntures</t>
  </si>
  <si>
    <t>Ajuste a valor presente de contas a receber</t>
  </si>
  <si>
    <t>Provisão para garantias</t>
  </si>
  <si>
    <t>Provisão juros sobre mútuos</t>
  </si>
  <si>
    <t>Provisão juros sobre empréstimos, financiamentos e debêntures</t>
  </si>
  <si>
    <t>Baixa de ativos não recuperáveis</t>
  </si>
  <si>
    <t>Ganho na adoção de valor justo de propriedades para investimento</t>
  </si>
  <si>
    <t>Ganho na transferência de estoque para propriedades para investimentos</t>
  </si>
  <si>
    <t>Ganho na venda de ativos imobilizados</t>
  </si>
  <si>
    <t>(Aumento) redução dos ativos operacionais</t>
  </si>
  <si>
    <t>Contas a receber</t>
  </si>
  <si>
    <t>Estoques</t>
  </si>
  <si>
    <t>Outros ativos circulantes e não circulantes</t>
  </si>
  <si>
    <t>Aumento (redução) dos passivos operacionais</t>
  </si>
  <si>
    <t>Fornecedores</t>
  </si>
  <si>
    <t>Obrigações fiscais</t>
  </si>
  <si>
    <t>Obrigações com pessoal</t>
  </si>
  <si>
    <t>Obrigações com terceiros</t>
  </si>
  <si>
    <t>Adiantamentos de clientes</t>
  </si>
  <si>
    <t>Outras passivos circulantes e não circulantes</t>
  </si>
  <si>
    <t>Juros pagos sobre empréstimos e debêntures</t>
  </si>
  <si>
    <t>Caixa líquido aplicado nas atividades operacionais</t>
  </si>
  <si>
    <t>Fluxos de caixa das atividades de Investimentos</t>
  </si>
  <si>
    <t>Resgate de aplicações financeiras</t>
  </si>
  <si>
    <t>Concessões de mútuos a partes relacionadas</t>
  </si>
  <si>
    <t>Recebimentos de mútuos</t>
  </si>
  <si>
    <t>Dividendos recebidos</t>
  </si>
  <si>
    <t>Aquisição de imobilizados</t>
  </si>
  <si>
    <t>Caixa recebido na venda de ativos imobilizados</t>
  </si>
  <si>
    <t>Baixa de investimentos</t>
  </si>
  <si>
    <t>Aquisição de investimentos</t>
  </si>
  <si>
    <t>Caixa líquido gerado pelas (consumido nas) atividades de investimento</t>
  </si>
  <si>
    <t>Fluxos de caixa das atividades de financiamento</t>
  </si>
  <si>
    <t>Captação de empréstimos</t>
  </si>
  <si>
    <t>Pagamentos de empréstimos</t>
  </si>
  <si>
    <t>Distribuição de dividendos</t>
  </si>
  <si>
    <t>Aumento de capital social</t>
  </si>
  <si>
    <t>Caixa líquido gerado pelas atividades de financiamento</t>
  </si>
  <si>
    <t>Aumento de caixa e equivalentes de caixa, líquidos</t>
  </si>
  <si>
    <t>Demonstração do aumento no caixa e equivalentes de caixa:</t>
  </si>
  <si>
    <t>Caixa e equivalentes de caixa no início do exercício</t>
  </si>
  <si>
    <t>Caixa e equivalentes de caixa no final do exercício</t>
  </si>
  <si>
    <t>9M20</t>
  </si>
  <si>
    <t>6M20</t>
  </si>
  <si>
    <t>Lucro líquido (Prejuízo) do período</t>
  </si>
  <si>
    <t>Baixa de imobilizados</t>
  </si>
  <si>
    <t>Despesas Comerciais (R$ mil)</t>
  </si>
  <si>
    <t>T/T</t>
  </si>
  <si>
    <t>A/A</t>
  </si>
  <si>
    <t>Mês</t>
  </si>
  <si>
    <t>Ticket médio MCMV (em R$)</t>
  </si>
  <si>
    <t>% da Receita Líquida ajustada</t>
  </si>
  <si>
    <t>Despesas Administrativas (G&amp;A) (R$ mil)</t>
  </si>
  <si>
    <t>Ticket médio (em R$)</t>
  </si>
  <si>
    <t>Repasses</t>
  </si>
  <si>
    <t>Contratações (R$ mil)</t>
  </si>
  <si>
    <t>Vendas líquidas (em R$ mil)</t>
  </si>
  <si>
    <t xml:space="preserve">Vendas brutas (em R$ mil) </t>
  </si>
  <si>
    <t>Distratos (em R$ mil)</t>
  </si>
  <si>
    <t>VGV repassado</t>
  </si>
  <si>
    <t>1T21</t>
  </si>
  <si>
    <t>2T21</t>
  </si>
  <si>
    <t>3T21</t>
  </si>
  <si>
    <t>4T21</t>
  </si>
  <si>
    <t>Dívida líquida, sem apoio a produção</t>
  </si>
  <si>
    <t>Índice dívida líquida / Patrimônio Líquido</t>
  </si>
  <si>
    <t>Realizado</t>
  </si>
  <si>
    <t>Previsto</t>
  </si>
  <si>
    <t>INCC (acumulado nos últimos 12 meses)</t>
  </si>
  <si>
    <t>Gerencial</t>
  </si>
  <si>
    <t xml:space="preserve">   Obrigações fiscais</t>
  </si>
  <si>
    <t>Aquisição de propriedades para investimetnos</t>
  </si>
  <si>
    <t>Provisão para distratos</t>
  </si>
  <si>
    <t>6M21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</si>
</sst>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416]dd\-mmm\-yy;@"/>
    <numFmt numFmtId="166" formatCode="_(* #,##0_);_(* \(#,##0\);_(* &quot;-&quot;??_);_(@_)"/>
    <numFmt numFmtId="167" formatCode="0.0%"/>
    <numFmt numFmtId="168" formatCode="_(* #,##0_);_(* \(#,##0\);_(* \-??_);_(@_)"/>
    <numFmt numFmtId="169" formatCode="#,##0\ %\ \▲;#,##0\ %\ \▼;"/>
    <numFmt numFmtId="170" formatCode="#,##0.0\ \p\.\p\.\ \▲;#,##0.0\ \p\.\p\.\ \▼;"/>
    <numFmt numFmtId="171" formatCode="_-* #,##0.0_-;\-* #,##0.0_-;_-* &quot;-&quot;??_-;_-@_-"/>
    <numFmt numFmtId="172" formatCode="_-* #,##0.0000_-;\-* #,##0.00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egoe"/>
    </font>
    <font>
      <sz val="11"/>
      <color theme="1"/>
      <name val="TeX"/>
    </font>
    <font>
      <b/>
      <sz val="11"/>
      <color rgb="FFFFFFFF"/>
      <name val="Calibri"/>
      <family val="2"/>
    </font>
    <font>
      <b/>
      <sz val="10.5"/>
      <name val="Segoe UI"/>
      <family val="2"/>
    </font>
    <font>
      <b/>
      <sz val="8"/>
      <name val="Segoe U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702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vertical="top"/>
    </xf>
    <xf numFmtId="165" fontId="3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150">
    <xf numFmtId="0" fontId="0" fillId="0" borderId="0" xfId="0"/>
    <xf numFmtId="0" fontId="6" fillId="0" borderId="0" xfId="0" applyFont="1"/>
    <xf numFmtId="164" fontId="6" fillId="0" borderId="0" xfId="2" applyNumberFormat="1" applyFont="1"/>
    <xf numFmtId="0" fontId="6" fillId="0" borderId="0" xfId="0" applyFont="1" applyFill="1"/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Alignment="1" applyProtection="1">
      <protection locked="0"/>
    </xf>
    <xf numFmtId="0" fontId="6" fillId="3" borderId="0" xfId="0" applyFont="1" applyFill="1" applyAlignment="1" applyProtection="1">
      <alignment horizontal="left" indent="1"/>
      <protection locked="0"/>
    </xf>
    <xf numFmtId="3" fontId="6" fillId="0" borderId="0" xfId="0" applyNumberFormat="1" applyFont="1" applyFill="1" applyAlignment="1" applyProtection="1">
      <protection locked="0"/>
    </xf>
    <xf numFmtId="3" fontId="6" fillId="3" borderId="0" xfId="0" applyNumberFormat="1" applyFont="1" applyFill="1" applyAlignment="1" applyProtection="1">
      <protection locked="0"/>
    </xf>
    <xf numFmtId="1" fontId="6" fillId="0" borderId="0" xfId="0" applyNumberFormat="1" applyFont="1" applyFill="1" applyAlignment="1" applyProtection="1">
      <protection locked="0"/>
    </xf>
    <xf numFmtId="1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alignment horizontal="left" indent="2"/>
      <protection locked="0"/>
    </xf>
    <xf numFmtId="10" fontId="6" fillId="0" borderId="0" xfId="1" applyNumberFormat="1" applyFont="1" applyFill="1" applyAlignment="1" applyProtection="1">
      <protection locked="0"/>
    </xf>
    <xf numFmtId="10" fontId="6" fillId="0" borderId="0" xfId="0" applyNumberFormat="1" applyFont="1" applyFill="1" applyAlignment="1" applyProtection="1">
      <protection locked="0"/>
    </xf>
    <xf numFmtId="10" fontId="6" fillId="0" borderId="0" xfId="1" applyNumberFormat="1" applyFont="1" applyAlignment="1" applyProtection="1">
      <protection locked="0"/>
    </xf>
    <xf numFmtId="43" fontId="6" fillId="3" borderId="0" xfId="2" applyFont="1" applyFill="1" applyAlignment="1" applyProtection="1">
      <protection locked="0"/>
    </xf>
    <xf numFmtId="3" fontId="6" fillId="0" borderId="0" xfId="0" applyNumberFormat="1" applyFont="1" applyAlignment="1" applyProtection="1">
      <protection locked="0"/>
    </xf>
    <xf numFmtId="43" fontId="6" fillId="0" borderId="0" xfId="2" applyFont="1" applyAlignment="1" applyProtection="1">
      <protection locked="0"/>
    </xf>
    <xf numFmtId="9" fontId="6" fillId="3" borderId="0" xfId="1" applyFont="1" applyFill="1" applyAlignment="1" applyProtection="1">
      <alignment horizontal="left" indent="1"/>
      <protection locked="0"/>
    </xf>
    <xf numFmtId="0" fontId="6" fillId="0" borderId="0" xfId="0" applyFont="1" applyProtection="1"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/>
    <xf numFmtId="164" fontId="6" fillId="0" borderId="0" xfId="0" applyNumberFormat="1" applyFont="1"/>
    <xf numFmtId="9" fontId="6" fillId="0" borderId="0" xfId="1" applyFont="1" applyFill="1" applyAlignment="1" applyProtection="1">
      <alignment horizontal="left" indent="1"/>
      <protection locked="0"/>
    </xf>
    <xf numFmtId="164" fontId="6" fillId="0" borderId="0" xfId="2" applyNumberFormat="1" applyFont="1" applyAlignment="1" applyProtection="1">
      <protection locked="0"/>
    </xf>
    <xf numFmtId="164" fontId="6" fillId="0" borderId="0" xfId="2" applyNumberFormat="1" applyFont="1" applyFill="1" applyAlignment="1" applyProtection="1">
      <protection locked="0"/>
    </xf>
    <xf numFmtId="3" fontId="5" fillId="4" borderId="0" xfId="0" applyNumberFormat="1" applyFont="1" applyFill="1" applyAlignment="1" applyProtection="1">
      <protection locked="0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5" fontId="11" fillId="0" borderId="0" xfId="5" applyFont="1" applyAlignment="1" applyProtection="1">
      <alignment vertical="center"/>
      <protection locked="0"/>
    </xf>
    <xf numFmtId="165" fontId="12" fillId="0" borderId="0" xfId="5" applyFont="1" applyAlignment="1" applyProtection="1">
      <alignment horizontal="left" vertical="top"/>
      <protection locked="0"/>
    </xf>
    <xf numFmtId="165" fontId="11" fillId="0" borderId="0" xfId="5" applyFont="1" applyAlignment="1" applyProtection="1">
      <alignment horizontal="left" vertical="top" indent="1"/>
      <protection locked="0"/>
    </xf>
    <xf numFmtId="166" fontId="11" fillId="0" borderId="0" xfId="3" applyNumberFormat="1" applyFont="1" applyAlignment="1">
      <alignment horizontal="right"/>
    </xf>
    <xf numFmtId="164" fontId="11" fillId="0" borderId="0" xfId="2" applyNumberFormat="1" applyFont="1" applyAlignment="1">
      <alignment horizontal="right"/>
    </xf>
    <xf numFmtId="165" fontId="6" fillId="0" borderId="0" xfId="5" applyFont="1" applyAlignment="1" applyProtection="1">
      <alignment horizontal="left" vertical="top" indent="1"/>
      <protection locked="0"/>
    </xf>
    <xf numFmtId="166" fontId="11" fillId="0" borderId="2" xfId="3" applyNumberFormat="1" applyFont="1" applyBorder="1" applyAlignment="1">
      <alignment horizontal="right"/>
    </xf>
    <xf numFmtId="164" fontId="11" fillId="0" borderId="2" xfId="2" applyNumberFormat="1" applyFont="1" applyBorder="1" applyAlignment="1">
      <alignment horizontal="right"/>
    </xf>
    <xf numFmtId="166" fontId="12" fillId="0" borderId="2" xfId="3" applyNumberFormat="1" applyFont="1" applyBorder="1" applyAlignment="1">
      <alignment horizontal="right"/>
    </xf>
    <xf numFmtId="164" fontId="12" fillId="0" borderId="2" xfId="2" applyNumberFormat="1" applyFont="1" applyBorder="1" applyAlignment="1">
      <alignment horizontal="right"/>
    </xf>
    <xf numFmtId="165" fontId="11" fillId="0" borderId="0" xfId="5" applyFont="1" applyAlignment="1" applyProtection="1">
      <alignment horizontal="left" vertical="top"/>
      <protection locked="0"/>
    </xf>
    <xf numFmtId="165" fontId="11" fillId="0" borderId="0" xfId="5" applyFont="1" applyAlignment="1" applyProtection="1">
      <alignment horizontal="left" vertical="top" indent="2"/>
      <protection locked="0"/>
    </xf>
    <xf numFmtId="166" fontId="11" fillId="0" borderId="0" xfId="3" applyNumberFormat="1" applyFont="1" applyFill="1" applyAlignment="1">
      <alignment horizontal="right"/>
    </xf>
    <xf numFmtId="166" fontId="11" fillId="0" borderId="0" xfId="3" applyNumberFormat="1" applyFont="1" applyBorder="1" applyAlignment="1">
      <alignment horizontal="right"/>
    </xf>
    <xf numFmtId="164" fontId="11" fillId="0" borderId="0" xfId="2" applyNumberFormat="1" applyFont="1" applyBorder="1" applyAlignment="1">
      <alignment horizontal="right"/>
    </xf>
    <xf numFmtId="165" fontId="12" fillId="0" borderId="0" xfId="5" applyFont="1" applyAlignment="1" applyProtection="1">
      <alignment vertical="center"/>
      <protection locked="0"/>
    </xf>
    <xf numFmtId="166" fontId="12" fillId="0" borderId="0" xfId="3" applyNumberFormat="1" applyFont="1" applyAlignment="1">
      <alignment horizontal="right"/>
    </xf>
    <xf numFmtId="164" fontId="12" fillId="0" borderId="0" xfId="2" applyNumberFormat="1" applyFont="1" applyAlignment="1">
      <alignment horizontal="right"/>
    </xf>
    <xf numFmtId="166" fontId="12" fillId="0" borderId="3" xfId="3" applyNumberFormat="1" applyFont="1" applyBorder="1" applyAlignment="1">
      <alignment horizontal="right"/>
    </xf>
    <xf numFmtId="164" fontId="12" fillId="0" borderId="3" xfId="2" applyNumberFormat="1" applyFont="1" applyBorder="1" applyAlignment="1">
      <alignment horizontal="right"/>
    </xf>
    <xf numFmtId="166" fontId="6" fillId="0" borderId="0" xfId="0" applyNumberFormat="1" applyFont="1"/>
    <xf numFmtId="9" fontId="6" fillId="0" borderId="0" xfId="0" applyNumberFormat="1" applyFont="1"/>
    <xf numFmtId="165" fontId="11" fillId="0" borderId="0" xfId="5" applyFont="1" applyAlignment="1" applyProtection="1">
      <alignment horizontal="left" vertical="center" indent="1"/>
      <protection locked="0"/>
    </xf>
    <xf numFmtId="165" fontId="6" fillId="0" borderId="0" xfId="5" applyFont="1" applyAlignment="1" applyProtection="1">
      <alignment horizontal="left" vertical="center" indent="1"/>
      <protection locked="0"/>
    </xf>
    <xf numFmtId="165" fontId="12" fillId="0" borderId="0" xfId="5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166" fontId="11" fillId="0" borderId="0" xfId="3" applyNumberFormat="1" applyFont="1" applyFill="1" applyAlignment="1">
      <alignment horizontal="center"/>
    </xf>
    <xf numFmtId="166" fontId="11" fillId="0" borderId="0" xfId="2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66" fontId="11" fillId="0" borderId="4" xfId="2" applyNumberFormat="1" applyFont="1" applyFill="1" applyBorder="1" applyAlignment="1">
      <alignment horizontal="center"/>
    </xf>
    <xf numFmtId="41" fontId="11" fillId="0" borderId="4" xfId="2" applyNumberFormat="1" applyFont="1" applyFill="1" applyBorder="1" applyAlignment="1">
      <alignment horizontal="center"/>
    </xf>
    <xf numFmtId="41" fontId="6" fillId="0" borderId="0" xfId="0" applyNumberFormat="1" applyFont="1"/>
    <xf numFmtId="0" fontId="11" fillId="0" borderId="0" xfId="0" applyFont="1"/>
    <xf numFmtId="167" fontId="6" fillId="0" borderId="0" xfId="0" applyNumberFormat="1" applyFont="1"/>
    <xf numFmtId="41" fontId="6" fillId="0" borderId="0" xfId="0" applyNumberFormat="1" applyFont="1" applyAlignment="1">
      <alignment horizontal="center"/>
    </xf>
    <xf numFmtId="166" fontId="11" fillId="0" borderId="2" xfId="2" applyNumberFormat="1" applyFont="1" applyFill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168" fontId="6" fillId="0" borderId="0" xfId="0" applyNumberFormat="1" applyFont="1"/>
    <xf numFmtId="0" fontId="12" fillId="0" borderId="0" xfId="0" applyFont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166" fontId="11" fillId="0" borderId="0" xfId="2" applyNumberFormat="1" applyFont="1" applyFill="1" applyAlignment="1">
      <alignment horizontal="right"/>
    </xf>
    <xf numFmtId="166" fontId="11" fillId="0" borderId="5" xfId="2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right"/>
    </xf>
    <xf numFmtId="166" fontId="11" fillId="0" borderId="4" xfId="2" applyNumberFormat="1" applyFont="1" applyFill="1" applyBorder="1" applyAlignment="1">
      <alignment horizontal="right"/>
    </xf>
    <xf numFmtId="166" fontId="11" fillId="0" borderId="3" xfId="2" applyNumberFormat="1" applyFont="1" applyFill="1" applyBorder="1"/>
    <xf numFmtId="3" fontId="0" fillId="0" borderId="0" xfId="0" applyNumberFormat="1"/>
    <xf numFmtId="0" fontId="0" fillId="3" borderId="0" xfId="0" applyFill="1"/>
    <xf numFmtId="9" fontId="0" fillId="0" borderId="0" xfId="0" applyNumberFormat="1"/>
    <xf numFmtId="9" fontId="0" fillId="3" borderId="0" xfId="0" applyNumberFormat="1" applyFill="1"/>
    <xf numFmtId="3" fontId="0" fillId="3" borderId="0" xfId="0" applyNumberFormat="1" applyFill="1"/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168" fontId="6" fillId="0" borderId="7" xfId="2" applyNumberFormat="1" applyFont="1" applyFill="1" applyBorder="1" applyAlignment="1"/>
    <xf numFmtId="169" fontId="6" fillId="0" borderId="7" xfId="1" applyNumberFormat="1" applyFont="1" applyFill="1" applyBorder="1" applyAlignment="1"/>
    <xf numFmtId="0" fontId="5" fillId="0" borderId="0" xfId="0" applyFont="1"/>
    <xf numFmtId="0" fontId="13" fillId="6" borderId="0" xfId="8" applyFont="1" applyFill="1"/>
    <xf numFmtId="0" fontId="13" fillId="3" borderId="0" xfId="8" applyFont="1" applyFill="1"/>
    <xf numFmtId="0" fontId="14" fillId="6" borderId="0" xfId="0" applyFont="1" applyFill="1"/>
    <xf numFmtId="0" fontId="14" fillId="6" borderId="6" xfId="0" applyFont="1" applyFill="1" applyBorder="1" applyAlignment="1">
      <alignment horizontal="left"/>
    </xf>
    <xf numFmtId="0" fontId="14" fillId="6" borderId="6" xfId="0" applyFont="1" applyFill="1" applyBorder="1" applyAlignment="1">
      <alignment horizontal="center"/>
    </xf>
    <xf numFmtId="0" fontId="14" fillId="6" borderId="6" xfId="0" applyFont="1" applyFill="1" applyBorder="1"/>
    <xf numFmtId="164" fontId="0" fillId="6" borderId="6" xfId="2" applyNumberFormat="1" applyFont="1" applyFill="1" applyBorder="1"/>
    <xf numFmtId="9" fontId="0" fillId="6" borderId="6" xfId="1" applyFont="1" applyFill="1" applyBorder="1"/>
    <xf numFmtId="0" fontId="14" fillId="3" borderId="0" xfId="0" applyFont="1" applyFill="1"/>
    <xf numFmtId="0" fontId="13" fillId="6" borderId="9" xfId="8" applyFont="1" applyFill="1" applyBorder="1"/>
    <xf numFmtId="0" fontId="6" fillId="0" borderId="0" xfId="0" applyFont="1" applyAlignment="1">
      <alignment vertical="center" wrapText="1"/>
    </xf>
    <xf numFmtId="164" fontId="9" fillId="6" borderId="6" xfId="2" applyNumberFormat="1" applyFont="1" applyFill="1" applyBorder="1"/>
    <xf numFmtId="164" fontId="14" fillId="6" borderId="0" xfId="0" applyNumberFormat="1" applyFont="1" applyFill="1"/>
    <xf numFmtId="9" fontId="9" fillId="6" borderId="6" xfId="1" applyFont="1" applyFill="1" applyBorder="1"/>
    <xf numFmtId="0" fontId="14" fillId="6" borderId="1" xfId="0" applyFont="1" applyFill="1" applyBorder="1"/>
    <xf numFmtId="164" fontId="6" fillId="3" borderId="0" xfId="2" applyNumberFormat="1" applyFont="1" applyFill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167" fontId="6" fillId="0" borderId="0" xfId="6" applyNumberFormat="1" applyFont="1" applyFill="1" applyBorder="1" applyAlignment="1"/>
    <xf numFmtId="170" fontId="6" fillId="0" borderId="0" xfId="1" applyNumberFormat="1" applyFont="1" applyFill="1" applyBorder="1" applyAlignment="1"/>
    <xf numFmtId="0" fontId="14" fillId="0" borderId="0" xfId="0" applyFont="1" applyFill="1"/>
    <xf numFmtId="168" fontId="6" fillId="0" borderId="0" xfId="2" applyNumberFormat="1" applyFont="1" applyFill="1" applyBorder="1" applyAlignment="1"/>
    <xf numFmtId="43" fontId="6" fillId="0" borderId="0" xfId="2" applyFont="1"/>
    <xf numFmtId="164" fontId="0" fillId="0" borderId="0" xfId="2" applyNumberFormat="1" applyFont="1"/>
    <xf numFmtId="3" fontId="18" fillId="0" borderId="0" xfId="0" applyNumberFormat="1" applyFont="1" applyBorder="1" applyAlignment="1">
      <alignment vertical="center"/>
    </xf>
    <xf numFmtId="171" fontId="0" fillId="0" borderId="0" xfId="0" applyNumberFormat="1" applyBorder="1"/>
    <xf numFmtId="0" fontId="0" fillId="0" borderId="0" xfId="0" applyAlignment="1">
      <alignment horizontal="center"/>
    </xf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164" fontId="0" fillId="0" borderId="8" xfId="2" applyNumberFormat="1" applyFont="1" applyBorder="1"/>
    <xf numFmtId="164" fontId="18" fillId="0" borderId="8" xfId="2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171" fontId="0" fillId="0" borderId="8" xfId="2" applyNumberFormat="1" applyFont="1" applyBorder="1"/>
    <xf numFmtId="164" fontId="0" fillId="0" borderId="15" xfId="2" applyNumberFormat="1" applyFont="1" applyBorder="1"/>
    <xf numFmtId="43" fontId="0" fillId="0" borderId="8" xfId="2" applyNumberFormat="1" applyFont="1" applyBorder="1"/>
    <xf numFmtId="0" fontId="9" fillId="0" borderId="0" xfId="0" applyFont="1" applyAlignment="1">
      <alignment horizontal="center"/>
    </xf>
    <xf numFmtId="43" fontId="0" fillId="0" borderId="0" xfId="2" applyNumberFormat="1" applyFont="1" applyBorder="1"/>
    <xf numFmtId="0" fontId="9" fillId="0" borderId="16" xfId="0" applyFont="1" applyBorder="1" applyAlignment="1">
      <alignment horizontal="center"/>
    </xf>
    <xf numFmtId="49" fontId="10" fillId="2" borderId="17" xfId="0" applyNumberFormat="1" applyFont="1" applyFill="1" applyBorder="1" applyAlignment="1" applyProtection="1">
      <alignment horizontal="center"/>
      <protection locked="0"/>
    </xf>
    <xf numFmtId="172" fontId="0" fillId="0" borderId="8" xfId="2" applyNumberFormat="1" applyFont="1" applyBorder="1"/>
    <xf numFmtId="43" fontId="6" fillId="0" borderId="0" xfId="2" applyFont="1" applyFill="1" applyBorder="1" applyAlignment="1"/>
    <xf numFmtId="43" fontId="6" fillId="0" borderId="0" xfId="2" applyFont="1" applyFill="1" applyAlignment="1" applyProtection="1">
      <protection locked="0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7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9" fontId="16" fillId="3" borderId="0" xfId="0" applyNumberFormat="1" applyFont="1" applyFill="1" applyAlignment="1">
      <alignment horizontal="center" vertical="center"/>
    </xf>
    <xf numFmtId="3" fontId="8" fillId="7" borderId="0" xfId="0" applyNumberFormat="1" applyFont="1" applyFill="1" applyAlignment="1">
      <alignment horizontal="center" vertical="center"/>
    </xf>
    <xf numFmtId="3" fontId="17" fillId="8" borderId="0" xfId="0" applyNumberFormat="1" applyFont="1" applyFill="1" applyAlignment="1">
      <alignment horizontal="center" vertical="center"/>
    </xf>
  </cellXfs>
  <cellStyles count="9">
    <cellStyle name="Comma 2 2 3" xfId="3" xr:uid="{1B35BF9E-36EB-4EA1-9FAE-064D7F75066C}"/>
    <cellStyle name="Normal" xfId="0" builtinId="0"/>
    <cellStyle name="Normal 2" xfId="8" xr:uid="{AC1555F8-721E-4047-8D2E-0DA3316C9D56}"/>
    <cellStyle name="Normal 3" xfId="4" xr:uid="{A53C5739-E5D1-4AE2-B61D-99D316CB6204}"/>
    <cellStyle name="Normal 7" xfId="7" xr:uid="{FA5AC8D0-4075-4219-9E81-35B69C27DA3D}"/>
    <cellStyle name="Normal_Relatório 2006 como base para 2007_2008-0055" xfId="5" xr:uid="{90C6DC5C-0EA5-42B5-B960-3F0B3A83CC02}"/>
    <cellStyle name="Porcentagem" xfId="1" builtinId="5"/>
    <cellStyle name="Vírgula" xfId="2" builtinId="3"/>
    <cellStyle name="Vírgula 3" xfId="6" xr:uid="{4D6E9127-2642-4403-9AD2-9018F42A3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'Ticket médio MCMV'!$B$6</c:f>
              <c:strCache>
                <c:ptCount val="1"/>
                <c:pt idx="0">
                  <c:v>Ticket médio MCMV (em R$)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7-4767-B736-DEC83ACEE72A}"/>
              </c:ext>
            </c:extLst>
          </c:dPt>
          <c:dPt>
            <c:idx val="6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7-4767-B736-DEC83ACEE72A}"/>
              </c:ext>
            </c:extLst>
          </c:dPt>
          <c:dLbls>
            <c:dLbl>
              <c:idx val="0"/>
              <c:layout>
                <c:manualLayout>
                  <c:x val="-4.5433893684688779E-3"/>
                  <c:y val="0.209814644456419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767-B736-DEC83ACEE72A}"/>
                </c:ext>
              </c:extLst>
            </c:dLbl>
            <c:dLbl>
              <c:idx val="1"/>
              <c:layout>
                <c:manualLayout>
                  <c:x val="-1.5144631228229592E-3"/>
                  <c:y val="0.20282082297453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767-B736-DEC83ACEE72A}"/>
                </c:ext>
              </c:extLst>
            </c:dLbl>
            <c:dLbl>
              <c:idx val="2"/>
              <c:layout>
                <c:manualLayout>
                  <c:x val="-1.4697236919459142E-3"/>
                  <c:y val="0.18196289874458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7-4767-B736-DEC83ACEE72A}"/>
                </c:ext>
              </c:extLst>
            </c:dLbl>
            <c:dLbl>
              <c:idx val="3"/>
              <c:layout>
                <c:manualLayout>
                  <c:x val="-6.0131340919958838E-3"/>
                  <c:y val="0.257473682993201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7-4767-B736-DEC83ACEE72A}"/>
                </c:ext>
              </c:extLst>
            </c:dLbl>
            <c:dLbl>
              <c:idx val="4"/>
              <c:layout>
                <c:manualLayout>
                  <c:x val="2.9842078463499649E-3"/>
                  <c:y val="0.24473776886631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7-4767-B736-DEC83ACEE72A}"/>
                </c:ext>
              </c:extLst>
            </c:dLbl>
            <c:dLbl>
              <c:idx val="5"/>
              <c:layout>
                <c:manualLayout>
                  <c:x val="-1.3427444695264979E-4"/>
                  <c:y val="0.241525016541489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767-B736-DEC83ACEE72A}"/>
                </c:ext>
              </c:extLst>
            </c:dLbl>
            <c:dLbl>
              <c:idx val="6"/>
              <c:layout>
                <c:manualLayout>
                  <c:x val="-1.110593460399745E-16"/>
                  <c:y val="0.220305376679239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767-B736-DEC83ACEE7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'Ticket médio MCMV'!$A$9:$A$16</c:f>
              <c:strCache>
                <c:ptCount val="8"/>
                <c:pt idx="0">
                  <c:v>1T19</c:v>
                </c:pt>
                <c:pt idx="1">
                  <c:v>2T19</c:v>
                </c:pt>
                <c:pt idx="2">
                  <c:v>3T19</c:v>
                </c:pt>
                <c:pt idx="3">
                  <c:v>4T19</c:v>
                </c:pt>
                <c:pt idx="4">
                  <c:v>1T20</c:v>
                </c:pt>
                <c:pt idx="5">
                  <c:v>2T20</c:v>
                </c:pt>
                <c:pt idx="6">
                  <c:v>3T20</c:v>
                </c:pt>
                <c:pt idx="7">
                  <c:v>4T20</c:v>
                </c:pt>
              </c:strCache>
            </c:strRef>
          </c:cat>
          <c:val>
            <c:numRef>
              <c:f>'Ticket médio MCMV'!$B$9:$B$16</c:f>
              <c:numCache>
                <c:formatCode>_-* #,##0_-;\-* #,##0_-;_-* "-"??_-;_-@_-</c:formatCode>
                <c:ptCount val="8"/>
                <c:pt idx="0">
                  <c:v>134584.05156118143</c:v>
                </c:pt>
                <c:pt idx="1">
                  <c:v>129313.67474264704</c:v>
                </c:pt>
                <c:pt idx="2">
                  <c:v>128246.14406113536</c:v>
                </c:pt>
                <c:pt idx="3">
                  <c:v>130500.39735027221</c:v>
                </c:pt>
                <c:pt idx="4">
                  <c:v>140520.20723926381</c:v>
                </c:pt>
                <c:pt idx="5">
                  <c:v>154350.88060773481</c:v>
                </c:pt>
                <c:pt idx="6">
                  <c:v>174648.46392543855</c:v>
                </c:pt>
                <c:pt idx="7">
                  <c:v>151169.52696721314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7-4767-B736-DEC83ACEE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'Ticket médio MCMV'!$C$6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bg1"/>
                    </a:solidFill>
                    <a:ln w="15875">
                      <a:solidFill>
                        <a:srgbClr val="C00000"/>
                      </a:solidFill>
                    </a:ln>
                    <a:effectLst/>
                  </c:spPr>
                </c:marker>
                <c:dLbls>
                  <c:dLbl>
                    <c:idx val="1"/>
                    <c:layout>
                      <c:manualLayout>
                        <c:x val="-2.8060728520046107E-2"/>
                        <c:y val="-0.10538458367022538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8F37-4767-B736-DEC83ACEE72A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bg1"/>
                            </a:solidFill>
                            <a:latin typeface="Segoe UI" panose="020B0502040204020203" pitchFamily="34" charset="0"/>
                            <a:ea typeface="+mn-ea"/>
                            <a:cs typeface="Segoe UI" panose="020B0502040204020203" pitchFamily="34" charset="0"/>
                          </a:defRPr>
                        </a:pPr>
                        <a:endParaRPr lang="pt-BR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B-8F37-4767-B736-DEC83ACEE72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1" i="0" u="none" strike="noStrike" kern="1200" baseline="0">
                          <a:solidFill>
                            <a:sysClr val="windowText" lastClr="000000"/>
                          </a:solidFill>
                          <a:latin typeface="Segoe UI" panose="020B0502040204020203" pitchFamily="34" charset="0"/>
                          <a:ea typeface="+mn-ea"/>
                          <a:cs typeface="Segoe UI" panose="020B0502040204020203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'Ticket médio MCMV'!$A$11:$A$15</c15:sqref>
                        </c15:formulaRef>
                      </c:ext>
                    </c:extLst>
                    <c:strCache>
                      <c:ptCount val="5"/>
                      <c:pt idx="0">
                        <c:v>3T19</c:v>
                      </c:pt>
                      <c:pt idx="1">
                        <c:v>4T19</c:v>
                      </c:pt>
                      <c:pt idx="2">
                        <c:v>1T20</c:v>
                      </c:pt>
                      <c:pt idx="3">
                        <c:v>2T20</c:v>
                      </c:pt>
                      <c:pt idx="4">
                        <c:v>3T20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'Ticket médio MCMV'!$C$10:$C$15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8F37-4767-B736-DEC83ACEE72A}"/>
                  </c:ext>
                </c:extLst>
              </c15:ser>
            </c15:filteredLineSeries>
          </c:ext>
        </c:extLst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sz="1200" b="1">
                <a:solidFill>
                  <a:schemeClr val="tx1"/>
                </a:solidFill>
              </a:rPr>
              <a:t>Receita</a:t>
            </a:r>
            <a:r>
              <a:rPr lang="pt-BR" sz="1200" b="1" baseline="0">
                <a:solidFill>
                  <a:schemeClr val="tx1"/>
                </a:solidFill>
              </a:rPr>
              <a:t> Líquida Ajustada (R$ mil</a:t>
            </a:r>
            <a:r>
              <a:rPr lang="pt-BR" sz="1200" b="1" baseline="0"/>
              <a:t>)</a:t>
            </a:r>
            <a:endParaRPr lang="pt-B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'Receita Líquida'!#REF!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'Receita Líquida'!#REF!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2A4B-4E08-A71B-E81BC8E5E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valAx>
        <c:axId val="15325982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'Ticket médio MCMV'!$B$6</c:f>
              <c:strCache>
                <c:ptCount val="1"/>
                <c:pt idx="0">
                  <c:v>Ticket médio MCMV (em R$)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16-4FE5-95DC-29A18FDA1A79}"/>
              </c:ext>
            </c:extLst>
          </c:dPt>
          <c:dPt>
            <c:idx val="5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16-4FE5-95DC-29A18FDA1A79}"/>
              </c:ext>
            </c:extLst>
          </c:dPt>
          <c:dLbls>
            <c:dLbl>
              <c:idx val="0"/>
              <c:layout>
                <c:manualLayout>
                  <c:x val="-1.5144631228229592E-3"/>
                  <c:y val="0.20282082297453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16-4FE5-95DC-29A18FDA1A79}"/>
                </c:ext>
              </c:extLst>
            </c:dLbl>
            <c:dLbl>
              <c:idx val="1"/>
              <c:layout>
                <c:manualLayout>
                  <c:x val="-1.4697236919459142E-3"/>
                  <c:y val="0.18196289874458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16-4FE5-95DC-29A18FDA1A79}"/>
                </c:ext>
              </c:extLst>
            </c:dLbl>
            <c:dLbl>
              <c:idx val="2"/>
              <c:layout>
                <c:manualLayout>
                  <c:x val="1.0568018620313508E-3"/>
                  <c:y val="0.22095798756263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16-4FE5-95DC-29A18FDA1A79}"/>
                </c:ext>
              </c:extLst>
            </c:dLbl>
            <c:dLbl>
              <c:idx val="3"/>
              <c:layout>
                <c:manualLayout>
                  <c:x val="2.9842078463499649E-3"/>
                  <c:y val="0.24473776886631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16-4FE5-95DC-29A18FDA1A79}"/>
                </c:ext>
              </c:extLst>
            </c:dLbl>
            <c:dLbl>
              <c:idx val="4"/>
              <c:layout>
                <c:manualLayout>
                  <c:x val="4.4091710758377423E-3"/>
                  <c:y val="0.290481723085098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16-4FE5-95DC-29A18FDA1A79}"/>
                </c:ext>
              </c:extLst>
            </c:dLbl>
            <c:dLbl>
              <c:idx val="5"/>
              <c:layout>
                <c:manualLayout>
                  <c:x val="-1.110593460399745E-16"/>
                  <c:y val="0.220305376679239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16-4FE5-95DC-29A18FDA1A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'Ticket médio MCMV'!$A$10:$A$15</c:f>
              <c:strCache>
                <c:ptCount val="6"/>
                <c:pt idx="0">
                  <c:v>2T19</c:v>
                </c:pt>
                <c:pt idx="1">
                  <c:v>3T19</c:v>
                </c:pt>
                <c:pt idx="2">
                  <c:v>4T19</c:v>
                </c:pt>
                <c:pt idx="3">
                  <c:v>1T20</c:v>
                </c:pt>
                <c:pt idx="4">
                  <c:v>2T20</c:v>
                </c:pt>
                <c:pt idx="5">
                  <c:v>3T20</c:v>
                </c:pt>
              </c:strCache>
            </c:strRef>
          </c:cat>
          <c:val>
            <c:numRef>
              <c:f>'Ticket médio MCMV'!$B$10:$B$15</c:f>
              <c:numCache>
                <c:formatCode>_-* #,##0_-;\-* #,##0_-;_-* "-"??_-;_-@_-</c:formatCode>
                <c:ptCount val="6"/>
                <c:pt idx="0">
                  <c:v>129313.67474264704</c:v>
                </c:pt>
                <c:pt idx="1">
                  <c:v>128246.14406113536</c:v>
                </c:pt>
                <c:pt idx="2">
                  <c:v>130500.39735027221</c:v>
                </c:pt>
                <c:pt idx="3">
                  <c:v>140520.20723926381</c:v>
                </c:pt>
                <c:pt idx="4">
                  <c:v>154350.88060773481</c:v>
                </c:pt>
                <c:pt idx="5">
                  <c:v>174648.46392543855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16-4FE5-95DC-29A18FDA1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'Ticket médio MCMV'!$C$6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bg1"/>
                    </a:solidFill>
                    <a:ln w="15875">
                      <a:solidFill>
                        <a:srgbClr val="C00000"/>
                      </a:solidFill>
                    </a:ln>
                    <a:effectLst/>
                  </c:spPr>
                </c:marker>
                <c:dLbls>
                  <c:dLbl>
                    <c:idx val="1"/>
                    <c:layout>
                      <c:manualLayout>
                        <c:x val="-2.8060728520046107E-2"/>
                        <c:y val="-0.10538458367022538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716-4FE5-95DC-29A18FDA1A79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bg1"/>
                            </a:solidFill>
                            <a:latin typeface="Segoe UI" panose="020B0502040204020203" pitchFamily="34" charset="0"/>
                            <a:ea typeface="+mn-ea"/>
                            <a:cs typeface="Segoe UI" panose="020B0502040204020203" pitchFamily="34" charset="0"/>
                          </a:defRPr>
                        </a:pPr>
                        <a:endParaRPr lang="pt-BR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A-5716-4FE5-95DC-29A18FDA1A7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1" i="0" u="none" strike="noStrike" kern="1200" baseline="0">
                          <a:solidFill>
                            <a:sysClr val="windowText" lastClr="000000"/>
                          </a:solidFill>
                          <a:latin typeface="Segoe UI" panose="020B0502040204020203" pitchFamily="34" charset="0"/>
                          <a:ea typeface="+mn-ea"/>
                          <a:cs typeface="Segoe UI" panose="020B0502040204020203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'Ticket médio MCMV'!$A$11:$A$15</c15:sqref>
                        </c15:formulaRef>
                      </c:ext>
                    </c:extLst>
                    <c:strCache>
                      <c:ptCount val="5"/>
                      <c:pt idx="0">
                        <c:v>3T19</c:v>
                      </c:pt>
                      <c:pt idx="1">
                        <c:v>4T19</c:v>
                      </c:pt>
                      <c:pt idx="2">
                        <c:v>1T20</c:v>
                      </c:pt>
                      <c:pt idx="3">
                        <c:v>2T20</c:v>
                      </c:pt>
                      <c:pt idx="4">
                        <c:v>3T20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'Ticket médio MCMV'!$C$10:$C$15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5716-4FE5-95DC-29A18FDA1A79}"/>
                  </c:ext>
                </c:extLst>
              </c15:ser>
            </c15:filteredLineSeries>
          </c:ext>
        </c:extLst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'Despesas Comerciais'!$B$4</c:f>
              <c:strCache>
                <c:ptCount val="1"/>
                <c:pt idx="0">
                  <c:v>Despesas Comerciais (R$ mil)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B8-488A-B312-142560E0E23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B8-488A-B312-142560E0E23D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B8-488A-B312-142560E0E23D}"/>
              </c:ext>
            </c:extLst>
          </c:dPt>
          <c:dPt>
            <c:idx val="6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B8-488A-B312-142560E0E23D}"/>
              </c:ext>
            </c:extLst>
          </c:dPt>
          <c:dLbls>
            <c:dLbl>
              <c:idx val="0"/>
              <c:layout>
                <c:manualLayout>
                  <c:x val="-3.0289262456459323E-3"/>
                  <c:y val="0.30198132298896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B8-488A-B312-142560E0E23D}"/>
                </c:ext>
              </c:extLst>
            </c:dLbl>
            <c:dLbl>
              <c:idx val="1"/>
              <c:layout>
                <c:manualLayout>
                  <c:x val="4.4091710758377423E-3"/>
                  <c:y val="0.23062823387671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B8-488A-B312-142560E0E23D}"/>
                </c:ext>
              </c:extLst>
            </c:dLbl>
            <c:dLbl>
              <c:idx val="2"/>
              <c:layout>
                <c:manualLayout>
                  <c:x val="2.9394473838918285E-3"/>
                  <c:y val="0.262238340865207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B8-488A-B312-142560E0E23D}"/>
                </c:ext>
              </c:extLst>
            </c:dLbl>
            <c:dLbl>
              <c:idx val="3"/>
              <c:layout>
                <c:manualLayout>
                  <c:x val="-6.0484477847047987E-3"/>
                  <c:y val="0.352697223599596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8-488A-B312-142560E0E23D}"/>
                </c:ext>
              </c:extLst>
            </c:dLbl>
            <c:dLbl>
              <c:idx val="4"/>
              <c:layout>
                <c:manualLayout>
                  <c:x val="-1.5050606776470521E-3"/>
                  <c:y val="0.217150175589937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8-488A-B312-142560E0E23D}"/>
                </c:ext>
              </c:extLst>
            </c:dLbl>
            <c:dLbl>
              <c:idx val="5"/>
              <c:layout>
                <c:manualLayout>
                  <c:x val="4.5151825680296393E-3"/>
                  <c:y val="0.130016559887442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B8-488A-B312-142560E0E23D}"/>
                </c:ext>
              </c:extLst>
            </c:dLbl>
            <c:dLbl>
              <c:idx val="6"/>
              <c:layout>
                <c:manualLayout>
                  <c:x val="1.5050606776470521E-3"/>
                  <c:y val="0.20314048684219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B8-488A-B312-142560E0E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'Despesas Comerciais'!$A$9:$A$15</c:f>
              <c:strCache>
                <c:ptCount val="7"/>
                <c:pt idx="0">
                  <c:v>1T19</c:v>
                </c:pt>
                <c:pt idx="1">
                  <c:v>2T19</c:v>
                </c:pt>
                <c:pt idx="2">
                  <c:v>3T19</c:v>
                </c:pt>
                <c:pt idx="3">
                  <c:v>4T19</c:v>
                </c:pt>
                <c:pt idx="4">
                  <c:v>1T20</c:v>
                </c:pt>
                <c:pt idx="5">
                  <c:v>2T20</c:v>
                </c:pt>
                <c:pt idx="6">
                  <c:v>3T20</c:v>
                </c:pt>
              </c:strCache>
            </c:strRef>
          </c:cat>
          <c:val>
            <c:numRef>
              <c:f>'Despesas Comerciais'!$B$9:$B$15</c:f>
              <c:numCache>
                <c:formatCode>_-* #,##0_-;\-* #,##0_-;_-* "-"??_-;_-@_-</c:formatCode>
                <c:ptCount val="7"/>
                <c:pt idx="0">
                  <c:v>4288</c:v>
                </c:pt>
                <c:pt idx="1">
                  <c:v>3451</c:v>
                </c:pt>
                <c:pt idx="2">
                  <c:v>4472.1395899999998</c:v>
                </c:pt>
                <c:pt idx="3">
                  <c:v>7314</c:v>
                </c:pt>
                <c:pt idx="4">
                  <c:v>4861</c:v>
                </c:pt>
                <c:pt idx="5">
                  <c:v>3057</c:v>
                </c:pt>
                <c:pt idx="6">
                  <c:v>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B8-488A-B312-142560E0E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ser>
          <c:idx val="1"/>
          <c:order val="1"/>
          <c:tx>
            <c:strRef>
              <c:f>'Despesas Comerciais'!$C$4</c:f>
              <c:strCache>
                <c:ptCount val="1"/>
                <c:pt idx="0">
                  <c:v>% da Receita Líquida ajustada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C00000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3428017090775967E-2"/>
                  <c:y val="-5.247510936106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B8-488A-B312-142560E0E23D}"/>
                </c:ext>
              </c:extLst>
            </c:dLbl>
            <c:dLbl>
              <c:idx val="3"/>
              <c:layout>
                <c:manualLayout>
                  <c:x val="-2.5834117395934435E-2"/>
                  <c:y val="-5.7347061357472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B8-488A-B312-142560E0E2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A4B8-488A-B312-142560E0E23D}"/>
                </c:ext>
              </c:extLst>
            </c:dLbl>
            <c:dLbl>
              <c:idx val="6"/>
              <c:layout>
                <c:manualLayout>
                  <c:x val="-2.1179996013366835E-2"/>
                  <c:y val="-6.2982375921867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B8-488A-B312-142560E0E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'Despesas Comerciais'!$A$9:$A$15</c:f>
              <c:strCache>
                <c:ptCount val="7"/>
                <c:pt idx="0">
                  <c:v>1T19</c:v>
                </c:pt>
                <c:pt idx="1">
                  <c:v>2T19</c:v>
                </c:pt>
                <c:pt idx="2">
                  <c:v>3T19</c:v>
                </c:pt>
                <c:pt idx="3">
                  <c:v>4T19</c:v>
                </c:pt>
                <c:pt idx="4">
                  <c:v>1T20</c:v>
                </c:pt>
                <c:pt idx="5">
                  <c:v>2T20</c:v>
                </c:pt>
                <c:pt idx="6">
                  <c:v>3T20</c:v>
                </c:pt>
              </c:strCache>
            </c:strRef>
          </c:cat>
          <c:val>
            <c:numRef>
              <c:f>'Despesas Comerciais'!$C$9:$C$15</c:f>
              <c:numCache>
                <c:formatCode>0%</c:formatCode>
                <c:ptCount val="7"/>
                <c:pt idx="0">
                  <c:v>0.107</c:v>
                </c:pt>
                <c:pt idx="1">
                  <c:v>5.6173191177667454E-2</c:v>
                </c:pt>
                <c:pt idx="2">
                  <c:v>4.8000000000000001E-2</c:v>
                </c:pt>
                <c:pt idx="3">
                  <c:v>8.3633958671512618E-2</c:v>
                </c:pt>
                <c:pt idx="4">
                  <c:v>7.5543518027928913E-2</c:v>
                </c:pt>
                <c:pt idx="5">
                  <c:v>5.2668292240629869E-2</c:v>
                </c:pt>
                <c:pt idx="6">
                  <c:v>6.2338679272642902E-2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4B8-488A-B312-142560E0E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'Despesas Administrativas'!$B$4</c:f>
              <c:strCache>
                <c:ptCount val="1"/>
                <c:pt idx="0">
                  <c:v>Despesas Administrativas (G&amp;A) (R$ mil)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8D-4A18-A828-5DBCABE04E3A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8D-4A18-A828-5DBCABE04E3A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28D-4A18-A828-5DBCABE04E3A}"/>
              </c:ext>
            </c:extLst>
          </c:dPt>
          <c:dPt>
            <c:idx val="6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28D-4A18-A828-5DBCABE04E3A}"/>
              </c:ext>
            </c:extLst>
          </c:dPt>
          <c:dLbls>
            <c:dLbl>
              <c:idx val="0"/>
              <c:layout>
                <c:manualLayout>
                  <c:x val="0"/>
                  <c:y val="0.28741104333824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8D-4A18-A828-5DBCABE04E3A}"/>
                </c:ext>
              </c:extLst>
            </c:dLbl>
            <c:dLbl>
              <c:idx val="1"/>
              <c:layout>
                <c:manualLayout>
                  <c:x val="1.4697236919459142E-3"/>
                  <c:y val="0.32880409263632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8D-4A18-A828-5DBCABE04E3A}"/>
                </c:ext>
              </c:extLst>
            </c:dLbl>
            <c:dLbl>
              <c:idx val="2"/>
              <c:layout>
                <c:manualLayout>
                  <c:x val="1.4697236919459142E-3"/>
                  <c:y val="0.31314434170352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8D-4A18-A828-5DBCABE04E3A}"/>
                </c:ext>
              </c:extLst>
            </c:dLbl>
            <c:dLbl>
              <c:idx val="3"/>
              <c:layout>
                <c:manualLayout>
                  <c:x val="0"/>
                  <c:y val="0.345023866840438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8D-4A18-A828-5DBCABE04E3A}"/>
                </c:ext>
              </c:extLst>
            </c:dLbl>
            <c:dLbl>
              <c:idx val="4"/>
              <c:layout>
                <c:manualLayout>
                  <c:x val="-4.5433893684689889E-3"/>
                  <c:y val="0.384660181503434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8D-4A18-A828-5DBCABE04E3A}"/>
                </c:ext>
              </c:extLst>
            </c:dLbl>
            <c:dLbl>
              <c:idx val="5"/>
              <c:layout>
                <c:manualLayout>
                  <c:x val="1.2115704982583674E-2"/>
                  <c:y val="0.13602277427140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8D-4A18-A828-5DBCABE04E3A}"/>
                </c:ext>
              </c:extLst>
            </c:dLbl>
            <c:dLbl>
              <c:idx val="6"/>
              <c:layout>
                <c:manualLayout>
                  <c:x val="0"/>
                  <c:y val="0.125231899512083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8D-4A18-A828-5DBCABE04E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'Despesas Administrativas'!$A$9:$A$15</c:f>
              <c:strCache>
                <c:ptCount val="7"/>
                <c:pt idx="0">
                  <c:v>1T19</c:v>
                </c:pt>
                <c:pt idx="1">
                  <c:v>2T19</c:v>
                </c:pt>
                <c:pt idx="2">
                  <c:v>3T19</c:v>
                </c:pt>
                <c:pt idx="3">
                  <c:v>4T19</c:v>
                </c:pt>
                <c:pt idx="4">
                  <c:v>1T20</c:v>
                </c:pt>
                <c:pt idx="5">
                  <c:v>2T20</c:v>
                </c:pt>
                <c:pt idx="6">
                  <c:v>3T20</c:v>
                </c:pt>
              </c:strCache>
            </c:strRef>
          </c:cat>
          <c:val>
            <c:numRef>
              <c:f>'Despesas Administrativas'!$B$9:$B$15</c:f>
              <c:numCache>
                <c:formatCode>_-* #,##0_-;\-* #,##0_-;_-* "-"??_-;_-@_-</c:formatCode>
                <c:ptCount val="7"/>
                <c:pt idx="0">
                  <c:v>5368</c:v>
                </c:pt>
                <c:pt idx="1">
                  <c:v>6226</c:v>
                </c:pt>
                <c:pt idx="2">
                  <c:v>5243</c:v>
                </c:pt>
                <c:pt idx="3">
                  <c:v>6451</c:v>
                </c:pt>
                <c:pt idx="4">
                  <c:v>7219</c:v>
                </c:pt>
                <c:pt idx="5">
                  <c:v>8748</c:v>
                </c:pt>
                <c:pt idx="6">
                  <c:v>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8D-4A18-A828-5DBCABE0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ser>
          <c:idx val="1"/>
          <c:order val="1"/>
          <c:tx>
            <c:strRef>
              <c:f>'Despesas Administrativas'!$C$4</c:f>
              <c:strCache>
                <c:ptCount val="1"/>
                <c:pt idx="0">
                  <c:v>% da Receita Líquida ajustada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C00000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2.8773602373777352E-2"/>
                  <c:y val="-5.81236013733740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8D-4A18-A828-5DBCABE04E3A}"/>
                </c:ext>
              </c:extLst>
            </c:dLbl>
            <c:dLbl>
              <c:idx val="4"/>
              <c:layout>
                <c:manualLayout>
                  <c:x val="-3.9516158844524259E-2"/>
                  <c:y val="-5.57888359713092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8D-4A18-A828-5DBCABE04E3A}"/>
                </c:ext>
              </c:extLst>
            </c:dLbl>
            <c:dLbl>
              <c:idx val="5"/>
              <c:layout>
                <c:manualLayout>
                  <c:x val="-6.0718642564045799E-2"/>
                  <c:y val="6.0967203489301351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8D-4A18-A828-5DBCABE04E3A}"/>
                </c:ext>
              </c:extLst>
            </c:dLbl>
            <c:dLbl>
              <c:idx val="6"/>
              <c:layout>
                <c:manualLayout>
                  <c:x val="-1.2963804331364532E-2"/>
                  <c:y val="-3.35863627610949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8D-4A18-A828-5DBCABE04E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'Despesas Administrativas'!$A$9:$A$15</c:f>
              <c:strCache>
                <c:ptCount val="7"/>
                <c:pt idx="0">
                  <c:v>1T19</c:v>
                </c:pt>
                <c:pt idx="1">
                  <c:v>2T19</c:v>
                </c:pt>
                <c:pt idx="2">
                  <c:v>3T19</c:v>
                </c:pt>
                <c:pt idx="3">
                  <c:v>4T19</c:v>
                </c:pt>
                <c:pt idx="4">
                  <c:v>1T20</c:v>
                </c:pt>
                <c:pt idx="5">
                  <c:v>2T20</c:v>
                </c:pt>
                <c:pt idx="6">
                  <c:v>3T20</c:v>
                </c:pt>
              </c:strCache>
            </c:strRef>
          </c:cat>
          <c:val>
            <c:numRef>
              <c:f>'Despesas Administrativas'!$C$9:$C$15</c:f>
              <c:numCache>
                <c:formatCode>0%</c:formatCode>
                <c:ptCount val="7"/>
                <c:pt idx="0">
                  <c:v>0.13400000000000001</c:v>
                </c:pt>
                <c:pt idx="1">
                  <c:v>0.10100000000000001</c:v>
                </c:pt>
                <c:pt idx="2">
                  <c:v>5.6599999999999998E-2</c:v>
                </c:pt>
                <c:pt idx="3">
                  <c:v>7.3999999999999996E-2</c:v>
                </c:pt>
                <c:pt idx="4">
                  <c:v>0.11218857367694278</c:v>
                </c:pt>
                <c:pt idx="5">
                  <c:v>0.15071711498888782</c:v>
                </c:pt>
                <c:pt idx="6">
                  <c:v>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28D-4A18-A828-5DBCABE0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Contratações!$B$6</c:f>
              <c:strCache>
                <c:ptCount val="1"/>
                <c:pt idx="0">
                  <c:v>Contratações (R$ mil)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FB5-4DF6-A9DF-75166E6D4A53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FB5-4DF6-A9DF-75166E6D4A5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FB5-4DF6-A9DF-75166E6D4A53}"/>
              </c:ext>
            </c:extLst>
          </c:dPt>
          <c:dLbls>
            <c:dLbl>
              <c:idx val="0"/>
              <c:layout>
                <c:manualLayout>
                  <c:x val="4.0551341268315146E-5"/>
                  <c:y val="0.112490946456418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B5-4DF6-A9DF-75166E6D4A53}"/>
                </c:ext>
              </c:extLst>
            </c:dLbl>
            <c:dLbl>
              <c:idx val="1"/>
              <c:layout>
                <c:manualLayout>
                  <c:x val="-1.4697185534753867E-3"/>
                  <c:y val="0.15333642762573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B5-4DF6-A9DF-75166E6D4A53}"/>
                </c:ext>
              </c:extLst>
            </c:dLbl>
            <c:dLbl>
              <c:idx val="2"/>
              <c:layout>
                <c:manualLayout>
                  <c:x val="2.9799884482190884E-3"/>
                  <c:y val="0.300977166586570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B5-4DF6-A9DF-75166E6D4A53}"/>
                </c:ext>
              </c:extLst>
            </c:dLbl>
            <c:dLbl>
              <c:idx val="3"/>
              <c:layout>
                <c:manualLayout>
                  <c:x val="4.4091710758377423E-3"/>
                  <c:y val="0.29048172308509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B5-4DF6-A9DF-75166E6D4A53}"/>
                </c:ext>
              </c:extLst>
            </c:dLbl>
            <c:dLbl>
              <c:idx val="4"/>
              <c:layout>
                <c:manualLayout>
                  <c:x val="-1.1075184619976001E-16"/>
                  <c:y val="0.230969485621809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B5-4DF6-A9DF-75166E6D4A53}"/>
                </c:ext>
              </c:extLst>
            </c:dLbl>
            <c:dLbl>
              <c:idx val="5"/>
              <c:layout>
                <c:manualLayout>
                  <c:x val="-1.8123238736924421E-2"/>
                  <c:y val="0.3462951405204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B5-4DF6-A9DF-75166E6D4A53}"/>
                </c:ext>
              </c:extLst>
            </c:dLbl>
            <c:dLbl>
              <c:idx val="6"/>
              <c:layout>
                <c:manualLayout>
                  <c:x val="0"/>
                  <c:y val="0.170900408699965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B5-4DF6-A9DF-75166E6D4A53}"/>
                </c:ext>
              </c:extLst>
            </c:dLbl>
            <c:dLbl>
              <c:idx val="7"/>
              <c:layout>
                <c:manualLayout>
                  <c:x val="-1.1075184619976001E-16"/>
                  <c:y val="9.3896713615023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B5-4DF6-A9DF-75166E6D4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Contratações!$A$11:$A$18</c:f>
              <c:strCache>
                <c:ptCount val="8"/>
                <c:pt idx="0">
                  <c:v>1T19</c:v>
                </c:pt>
                <c:pt idx="1">
                  <c:v>2T19</c:v>
                </c:pt>
                <c:pt idx="2">
                  <c:v>3T19</c:v>
                </c:pt>
                <c:pt idx="3">
                  <c:v>4T19</c:v>
                </c:pt>
                <c:pt idx="4">
                  <c:v>1T20</c:v>
                </c:pt>
                <c:pt idx="5">
                  <c:v>2T20</c:v>
                </c:pt>
                <c:pt idx="6">
                  <c:v>3T20</c:v>
                </c:pt>
                <c:pt idx="7">
                  <c:v>4T20</c:v>
                </c:pt>
              </c:strCache>
            </c:strRef>
          </c:cat>
          <c:val>
            <c:numRef>
              <c:f>Contratações!$B$11:$B$18</c:f>
              <c:numCache>
                <c:formatCode>_-* #,##0_-;\-* #,##0_-;_-* "-"??_-;_-@_-</c:formatCode>
                <c:ptCount val="8"/>
                <c:pt idx="0">
                  <c:v>62040</c:v>
                </c:pt>
                <c:pt idx="1">
                  <c:v>134791.6</c:v>
                </c:pt>
                <c:pt idx="2">
                  <c:v>186555.4</c:v>
                </c:pt>
                <c:pt idx="3">
                  <c:v>0</c:v>
                </c:pt>
                <c:pt idx="4">
                  <c:v>133821.20000000001</c:v>
                </c:pt>
                <c:pt idx="5">
                  <c:v>402925.5</c:v>
                </c:pt>
                <c:pt idx="6">
                  <c:v>0</c:v>
                </c:pt>
                <c:pt idx="7">
                  <c:v>50327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B5-4DF6-A9DF-75166E6D4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ser>
          <c:idx val="1"/>
          <c:order val="1"/>
          <c:tx>
            <c:strRef>
              <c:f>Contratações!$C$6</c:f>
              <c:strCache>
                <c:ptCount val="1"/>
                <c:pt idx="0">
                  <c:v>Unidades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06069572544866E-2"/>
                  <c:y val="-5.6413634989002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B5-4DF6-A9DF-75166E6D4A5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FB5-4DF6-A9DF-75166E6D4A53}"/>
                </c:ext>
              </c:extLst>
            </c:dLbl>
            <c:dLbl>
              <c:idx val="7"/>
              <c:layout>
                <c:manualLayout>
                  <c:x val="-3.0216695189362389E-2"/>
                  <c:y val="-9.035826703195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B5-4DF6-A9DF-75166E6D4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Contratações!$A$11:$A$18</c:f>
              <c:strCache>
                <c:ptCount val="8"/>
                <c:pt idx="0">
                  <c:v>1T19</c:v>
                </c:pt>
                <c:pt idx="1">
                  <c:v>2T19</c:v>
                </c:pt>
                <c:pt idx="2">
                  <c:v>3T19</c:v>
                </c:pt>
                <c:pt idx="3">
                  <c:v>4T19</c:v>
                </c:pt>
                <c:pt idx="4">
                  <c:v>1T20</c:v>
                </c:pt>
                <c:pt idx="5">
                  <c:v>2T20</c:v>
                </c:pt>
                <c:pt idx="6">
                  <c:v>3T20</c:v>
                </c:pt>
                <c:pt idx="7">
                  <c:v>4T20</c:v>
                </c:pt>
              </c:strCache>
            </c:strRef>
          </c:cat>
          <c:val>
            <c:numRef>
              <c:f>Contratações!$C$11:$C$18</c:f>
              <c:numCache>
                <c:formatCode>_-* #,##0_-;\-* #,##0_-;_-* "-"??_-;_-@_-</c:formatCode>
                <c:ptCount val="8"/>
                <c:pt idx="0">
                  <c:v>360</c:v>
                </c:pt>
                <c:pt idx="1">
                  <c:v>804</c:v>
                </c:pt>
                <c:pt idx="2">
                  <c:v>1164</c:v>
                </c:pt>
                <c:pt idx="3">
                  <c:v>0</c:v>
                </c:pt>
                <c:pt idx="4">
                  <c:v>796</c:v>
                </c:pt>
                <c:pt idx="5">
                  <c:v>1916</c:v>
                </c:pt>
                <c:pt idx="6">
                  <c:v>0</c:v>
                </c:pt>
                <c:pt idx="7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FB5-4DF6-A9DF-75166E6D4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'Ticket médio MCMV'!$B$6</c:f>
              <c:strCache>
                <c:ptCount val="1"/>
                <c:pt idx="0">
                  <c:v>Ticket médio MCMV (em R$)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9F-470A-BFA6-826F3F350E5A}"/>
              </c:ext>
            </c:extLst>
          </c:dPt>
          <c:dPt>
            <c:idx val="5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9F-470A-BFA6-826F3F350E5A}"/>
              </c:ext>
            </c:extLst>
          </c:dPt>
          <c:dLbls>
            <c:dLbl>
              <c:idx val="0"/>
              <c:layout>
                <c:manualLayout>
                  <c:x val="-1.5144631228229592E-3"/>
                  <c:y val="0.20282082297453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9F-470A-BFA6-826F3F350E5A}"/>
                </c:ext>
              </c:extLst>
            </c:dLbl>
            <c:dLbl>
              <c:idx val="1"/>
              <c:layout>
                <c:manualLayout>
                  <c:x val="-1.4697236919459142E-3"/>
                  <c:y val="0.18196289874458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9F-470A-BFA6-826F3F350E5A}"/>
                </c:ext>
              </c:extLst>
            </c:dLbl>
            <c:dLbl>
              <c:idx val="2"/>
              <c:layout>
                <c:manualLayout>
                  <c:x val="1.0568018620313508E-3"/>
                  <c:y val="0.22095798756263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9F-470A-BFA6-826F3F350E5A}"/>
                </c:ext>
              </c:extLst>
            </c:dLbl>
            <c:dLbl>
              <c:idx val="3"/>
              <c:layout>
                <c:manualLayout>
                  <c:x val="2.9842078463499649E-3"/>
                  <c:y val="0.24473776886631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9F-470A-BFA6-826F3F350E5A}"/>
                </c:ext>
              </c:extLst>
            </c:dLbl>
            <c:dLbl>
              <c:idx val="4"/>
              <c:layout>
                <c:manualLayout>
                  <c:x val="4.4091710758377423E-3"/>
                  <c:y val="0.290481723085098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9F-470A-BFA6-826F3F350E5A}"/>
                </c:ext>
              </c:extLst>
            </c:dLbl>
            <c:dLbl>
              <c:idx val="5"/>
              <c:layout>
                <c:manualLayout>
                  <c:x val="-1.110593460399745E-16"/>
                  <c:y val="0.220305376679239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9F-470A-BFA6-826F3F350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'Ticket médio MCMV'!$A$10:$A$15</c:f>
              <c:strCache>
                <c:ptCount val="6"/>
                <c:pt idx="0">
                  <c:v>2T19</c:v>
                </c:pt>
                <c:pt idx="1">
                  <c:v>3T19</c:v>
                </c:pt>
                <c:pt idx="2">
                  <c:v>4T19</c:v>
                </c:pt>
                <c:pt idx="3">
                  <c:v>1T20</c:v>
                </c:pt>
                <c:pt idx="4">
                  <c:v>2T20</c:v>
                </c:pt>
                <c:pt idx="5">
                  <c:v>3T20</c:v>
                </c:pt>
              </c:strCache>
            </c:strRef>
          </c:cat>
          <c:val>
            <c:numRef>
              <c:f>'Ticket médio MCMV'!$B$10:$B$15</c:f>
              <c:numCache>
                <c:formatCode>_-* #,##0_-;\-* #,##0_-;_-* "-"??_-;_-@_-</c:formatCode>
                <c:ptCount val="6"/>
                <c:pt idx="0">
                  <c:v>129313.67474264704</c:v>
                </c:pt>
                <c:pt idx="1">
                  <c:v>128246.14406113536</c:v>
                </c:pt>
                <c:pt idx="2">
                  <c:v>130500.39735027221</c:v>
                </c:pt>
                <c:pt idx="3">
                  <c:v>140520.20723926381</c:v>
                </c:pt>
                <c:pt idx="4">
                  <c:v>154350.88060773481</c:v>
                </c:pt>
                <c:pt idx="5">
                  <c:v>174648.46392543855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9F-470A-BFA6-826F3F350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'Ticket médio MCMV'!$C$6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bg1"/>
                    </a:solidFill>
                    <a:ln w="15875">
                      <a:solidFill>
                        <a:srgbClr val="C00000"/>
                      </a:solidFill>
                    </a:ln>
                    <a:effectLst/>
                  </c:spPr>
                </c:marker>
                <c:dLbls>
                  <c:dLbl>
                    <c:idx val="1"/>
                    <c:layout>
                      <c:manualLayout>
                        <c:x val="-2.8060728520046107E-2"/>
                        <c:y val="-0.10538458367022538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8C9F-470A-BFA6-826F3F350E5A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bg1"/>
                            </a:solidFill>
                            <a:latin typeface="Segoe UI" panose="020B0502040204020203" pitchFamily="34" charset="0"/>
                            <a:ea typeface="+mn-ea"/>
                            <a:cs typeface="Segoe UI" panose="020B0502040204020203" pitchFamily="34" charset="0"/>
                          </a:defRPr>
                        </a:pPr>
                        <a:endParaRPr lang="pt-BR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A-8C9F-470A-BFA6-826F3F350E5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1" i="0" u="none" strike="noStrike" kern="1200" baseline="0">
                          <a:solidFill>
                            <a:sysClr val="windowText" lastClr="000000"/>
                          </a:solidFill>
                          <a:latin typeface="Segoe UI" panose="020B0502040204020203" pitchFamily="34" charset="0"/>
                          <a:ea typeface="+mn-ea"/>
                          <a:cs typeface="Segoe UI" panose="020B0502040204020203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'Ticket médio MCMV'!$A$11:$A$15</c15:sqref>
                        </c15:formulaRef>
                      </c:ext>
                    </c:extLst>
                    <c:strCache>
                      <c:ptCount val="5"/>
                      <c:pt idx="0">
                        <c:v>3T19</c:v>
                      </c:pt>
                      <c:pt idx="1">
                        <c:v>4T19</c:v>
                      </c:pt>
                      <c:pt idx="2">
                        <c:v>1T20</c:v>
                      </c:pt>
                      <c:pt idx="3">
                        <c:v>2T20</c:v>
                      </c:pt>
                      <c:pt idx="4">
                        <c:v>3T20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'Ticket médio MCMV'!$C$10:$C$15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8C9F-470A-BFA6-826F3F350E5A}"/>
                  </c:ext>
                </c:extLst>
              </c15:ser>
            </c15:filteredLineSeries>
          </c:ext>
        </c:extLst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82088650823539E-2"/>
          <c:y val="0.21291815115526003"/>
          <c:w val="0.83476861015629167"/>
          <c:h val="0.675187516363185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57EB-46E7-BA63-C8DF9FA20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C00000"/>
                </a:solidFill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57EB-46E7-BA63-C8DF9FA20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  <c:extLst/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76931281827937E-2"/>
          <c:y val="0.20554720794075154"/>
          <c:w val="0.83278740991206124"/>
          <c:h val="0.709538332709110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40-4EC9-BEC1-7DC1D2130766}"/>
              </c:ext>
            </c:extLst>
          </c:dPt>
          <c:dPt>
            <c:idx val="2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40-4EC9-BEC1-7DC1D2130766}"/>
              </c:ext>
            </c:extLst>
          </c:dPt>
          <c:dLbls>
            <c:dLbl>
              <c:idx val="0"/>
              <c:layout>
                <c:manualLayout>
                  <c:x val="2.9842078463499649E-3"/>
                  <c:y val="0.24473776886631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40-4EC9-BEC1-7DC1D2130766}"/>
                </c:ext>
              </c:extLst>
            </c:dLbl>
            <c:dLbl>
              <c:idx val="1"/>
              <c:layout>
                <c:manualLayout>
                  <c:x val="4.4091710758377423E-3"/>
                  <c:y val="0.290481723085098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40-4EC9-BEC1-7DC1D2130766}"/>
                </c:ext>
              </c:extLst>
            </c:dLbl>
            <c:dLbl>
              <c:idx val="2"/>
              <c:layout>
                <c:manualLayout>
                  <c:x val="-1.110593460399745E-16"/>
                  <c:y val="0.220305376679239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40-4EC9-BEC1-7DC1D21307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740-4EC9-BEC1-7DC1D2130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bg1"/>
                    </a:solidFill>
                    <a:ln w="15875">
                      <a:solidFill>
                        <a:srgbClr val="C00000"/>
                      </a:solidFill>
                    </a:ln>
                    <a:effectLst/>
                  </c:spPr>
                </c:marker>
                <c:dLbls>
                  <c:dLbl>
                    <c:idx val="1"/>
                    <c:layout>
                      <c:manualLayout>
                        <c:x val="-2.8060728520046107E-2"/>
                        <c:y val="-0.10538458367022538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A740-4EC9-BEC1-7DC1D2130766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bg1"/>
                            </a:solidFill>
                            <a:latin typeface="Segoe UI" panose="020B0502040204020203" pitchFamily="34" charset="0"/>
                            <a:ea typeface="+mn-ea"/>
                            <a:cs typeface="Segoe UI" panose="020B0502040204020203" pitchFamily="34" charset="0"/>
                          </a:defRPr>
                        </a:pPr>
                        <a:endParaRPr lang="pt-BR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A740-4EC9-BEC1-7DC1D213076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1" i="0" u="none" strike="noStrike" kern="1200" baseline="0">
                          <a:solidFill>
                            <a:sysClr val="windowText" lastClr="000000"/>
                          </a:solidFill>
                          <a:latin typeface="Segoe UI" panose="020B0502040204020203" pitchFamily="34" charset="0"/>
                          <a:ea typeface="+mn-ea"/>
                          <a:cs typeface="Segoe UI" panose="020B0502040204020203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8-A740-4EC9-BEC1-7DC1D2130766}"/>
                  </c:ext>
                </c:extLst>
              </c15:ser>
            </c15:filteredLineSeries>
          </c:ext>
        </c:extLst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95012603761227E-2"/>
          <c:y val="0.18926061100123404"/>
          <c:w val="0.82330633351731497"/>
          <c:h val="0.711277743206097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024-463B-A52F-1CB8A65D98B4}"/>
              </c:ext>
            </c:extLst>
          </c:dPt>
          <c:dPt>
            <c:idx val="2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024-463B-A52F-1CB8A65D98B4}"/>
              </c:ext>
            </c:extLst>
          </c:dPt>
          <c:dLbls>
            <c:dLbl>
              <c:idx val="0"/>
              <c:layout>
                <c:manualLayout>
                  <c:x val="1.0875623653658281E-2"/>
                  <c:y val="0.264555688511923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24-463B-A52F-1CB8A65D98B4}"/>
                </c:ext>
              </c:extLst>
            </c:dLbl>
            <c:dLbl>
              <c:idx val="1"/>
              <c:layout>
                <c:manualLayout>
                  <c:x val="-1.110593460399745E-16"/>
                  <c:y val="0.262268305570523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24-463B-A52F-1CB8A65D98B4}"/>
                </c:ext>
              </c:extLst>
            </c:dLbl>
            <c:dLbl>
              <c:idx val="2"/>
              <c:layout>
                <c:manualLayout>
                  <c:x val="-1.8123238736924421E-2"/>
                  <c:y val="0.346295140520414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24-463B-A52F-1CB8A65D98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024-463B-A52F-1CB8A65D9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C00000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2142322720236526E-2"/>
                  <c:y val="0.147710728462413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24-463B-A52F-1CB8A65D98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2024-463B-A52F-1CB8A65D9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94183105731813E-2"/>
          <c:y val="0.16409437450094616"/>
          <c:w val="0.84907434169638774"/>
          <c:h val="0.705485422158537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58-4346-A829-6E80B7B97C7C}"/>
              </c:ext>
            </c:extLst>
          </c:dPt>
          <c:dPt>
            <c:idx val="2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58-4346-A829-6E80B7B97C7C}"/>
              </c:ext>
            </c:extLst>
          </c:dPt>
          <c:dLbls>
            <c:dLbl>
              <c:idx val="0"/>
              <c:layout>
                <c:manualLayout>
                  <c:x val="2.9842078463499649E-3"/>
                  <c:y val="0.24473776886631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58-4346-A829-6E80B7B97C7C}"/>
                </c:ext>
              </c:extLst>
            </c:dLbl>
            <c:dLbl>
              <c:idx val="1"/>
              <c:layout>
                <c:manualLayout>
                  <c:x val="4.4091710758377423E-3"/>
                  <c:y val="0.290481723085098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58-4346-A829-6E80B7B97C7C}"/>
                </c:ext>
              </c:extLst>
            </c:dLbl>
            <c:dLbl>
              <c:idx val="2"/>
              <c:layout>
                <c:manualLayout>
                  <c:x val="-1.110593460399745E-16"/>
                  <c:y val="0.220305376679239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58-4346-A829-6E80B7B97C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1158-4346-A829-6E80B7B97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circle"/>
                  <c:size val="7"/>
                  <c:spPr>
                    <a:solidFill>
                      <a:schemeClr val="bg1"/>
                    </a:solidFill>
                    <a:ln w="15875">
                      <a:solidFill>
                        <a:srgbClr val="C00000"/>
                      </a:solidFill>
                    </a:ln>
                    <a:effectLst/>
                  </c:spPr>
                </c:marker>
                <c:dLbls>
                  <c:dLbl>
                    <c:idx val="1"/>
                    <c:layout>
                      <c:manualLayout>
                        <c:x val="-2.8060728520046107E-2"/>
                        <c:y val="-0.10538458367022538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1158-4346-A829-6E80B7B97C7C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bg1"/>
                            </a:solidFill>
                            <a:latin typeface="Segoe UI" panose="020B0502040204020203" pitchFamily="34" charset="0"/>
                            <a:ea typeface="+mn-ea"/>
                            <a:cs typeface="Segoe UI" panose="020B0502040204020203" pitchFamily="34" charset="0"/>
                          </a:defRPr>
                        </a:pPr>
                        <a:endParaRPr lang="pt-BR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1158-4346-A829-6E80B7B97C7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1" i="0" u="none" strike="noStrike" kern="1200" baseline="0">
                          <a:solidFill>
                            <a:sysClr val="windowText" lastClr="000000"/>
                          </a:solidFill>
                          <a:latin typeface="Segoe UI" panose="020B0502040204020203" pitchFamily="34" charset="0"/>
                          <a:ea typeface="+mn-ea"/>
                          <a:cs typeface="Segoe UI" panose="020B0502040204020203" pitchFamily="34" charset="0"/>
                        </a:defRPr>
                      </a:pPr>
                      <a:endParaRPr lang="pt-B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8-1158-4346-A829-6E80B7B97C7C}"/>
                  </c:ext>
                </c:extLst>
              </c15:ser>
            </c15:filteredLineSeries>
          </c:ext>
        </c:extLst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sz="1200" b="1" baseline="0">
                <a:solidFill>
                  <a:schemeClr val="tx1"/>
                </a:solidFill>
              </a:rPr>
              <a:t>Patrimônio Líquido (R$ Mil)</a:t>
            </a:r>
            <a:endParaRPr lang="pt-B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75C-4031-9A2A-498685C0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valAx>
        <c:axId val="1532598239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E3-4D4D-BDA2-9C55657E6DD9}"/>
              </c:ext>
            </c:extLst>
          </c:dPt>
          <c:dPt>
            <c:idx val="5"/>
            <c:invertIfNegative val="0"/>
            <c:bubble3D val="0"/>
            <c:spPr>
              <a:solidFill>
                <a:srgbClr val="DF702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5E3-4D4D-BDA2-9C55657E6DD9}"/>
              </c:ext>
            </c:extLst>
          </c:dPt>
          <c:dLbls>
            <c:dLbl>
              <c:idx val="0"/>
              <c:layout>
                <c:manualLayout>
                  <c:x val="-1.4697185534754006E-3"/>
                  <c:y val="0.195954629359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E3-4D4D-BDA2-9C55657E6DD9}"/>
                </c:ext>
              </c:extLst>
            </c:dLbl>
            <c:dLbl>
              <c:idx val="1"/>
              <c:layout>
                <c:manualLayout>
                  <c:x val="-1.4697236919459142E-3"/>
                  <c:y val="0.29244266346609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E3-4D4D-BDA2-9C55657E6DD9}"/>
                </c:ext>
              </c:extLst>
            </c:dLbl>
            <c:dLbl>
              <c:idx val="2"/>
              <c:layout>
                <c:manualLayout>
                  <c:x val="1.4697236919459142E-3"/>
                  <c:y val="0.353141913790773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E3-4D4D-BDA2-9C55657E6DD9}"/>
                </c:ext>
              </c:extLst>
            </c:dLbl>
            <c:dLbl>
              <c:idx val="3"/>
              <c:layout>
                <c:manualLayout>
                  <c:x val="4.4091710758377423E-3"/>
                  <c:y val="0.29048172308509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E3-4D4D-BDA2-9C55657E6DD9}"/>
                </c:ext>
              </c:extLst>
            </c:dLbl>
            <c:dLbl>
              <c:idx val="4"/>
              <c:layout>
                <c:manualLayout>
                  <c:x val="-1.110593460399745E-16"/>
                  <c:y val="0.262268305570523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E3-4D4D-BDA2-9C55657E6DD9}"/>
                </c:ext>
              </c:extLst>
            </c:dLbl>
            <c:dLbl>
              <c:idx val="5"/>
              <c:layout>
                <c:manualLayout>
                  <c:x val="3.020547554972735E-3"/>
                  <c:y val="0.331529325898272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E3-4D4D-BDA2-9C55657E6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85E3-4D4D-BDA2-9C55657E6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axId val="1712041087"/>
        <c:axId val="1532598239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06069572544866E-2"/>
                  <c:y val="-5.6413634989002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E3-4D4D-BDA2-9C55657E6DD9}"/>
                </c:ext>
              </c:extLst>
            </c:dLbl>
            <c:dLbl>
              <c:idx val="5"/>
              <c:layout>
                <c:manualLayout>
                  <c:x val="-1.4312340131916049E-2"/>
                  <c:y val="-4.56716610401760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E3-4D4D-BDA2-9C55657E6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85E3-4D4D-BDA2-9C55657E6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09968"/>
        <c:axId val="1198165072"/>
      </c:lineChart>
      <c:catAx>
        <c:axId val="11884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98165072"/>
        <c:crosses val="autoZero"/>
        <c:auto val="1"/>
        <c:lblAlgn val="ctr"/>
        <c:lblOffset val="100"/>
        <c:noMultiLvlLbl val="0"/>
      </c:catAx>
      <c:valAx>
        <c:axId val="119816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188409968"/>
        <c:crosses val="autoZero"/>
        <c:crossBetween val="between"/>
      </c:valAx>
      <c:valAx>
        <c:axId val="153259823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712041087"/>
        <c:crosses val="max"/>
        <c:crossBetween val="between"/>
      </c:valAx>
      <c:catAx>
        <c:axId val="17120410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2598239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D9BFD1D-18DE-4D88-847A-7086B31E48D4}" type="doc">
      <dgm:prSet loTypeId="urn:microsoft.com/office/officeart/2005/8/layout/arrow2" loCatId="process" qsTypeId="urn:microsoft.com/office/officeart/2005/8/quickstyle/simple1" qsCatId="simple" csTypeId="urn:microsoft.com/office/officeart/2005/8/colors/accent3_4" csCatId="accent3" phldr="1"/>
      <dgm:spPr/>
    </dgm:pt>
    <dgm:pt modelId="{21021625-E023-4241-AD77-1328FD54BA30}">
      <dgm:prSet phldrT="[Texto]" custT="1"/>
      <dgm:spPr/>
      <dgm:t>
        <a:bodyPr/>
        <a:lstStyle/>
        <a:p>
          <a:r>
            <a:rPr lang="pt-BR" sz="1400" b="1">
              <a:solidFill>
                <a:sysClr val="windowText" lastClr="000000"/>
              </a:solidFill>
            </a:rPr>
            <a:t>40%</a:t>
          </a:r>
        </a:p>
      </dgm:t>
    </dgm:pt>
    <dgm:pt modelId="{89F13165-0321-4B20-AC3C-19592B9E1594}" type="parTrans" cxnId="{9390997F-B77A-4E6A-81D1-A455B6927887}">
      <dgm:prSet/>
      <dgm:spPr/>
      <dgm:t>
        <a:bodyPr/>
        <a:lstStyle/>
        <a:p>
          <a:endParaRPr lang="pt-BR"/>
        </a:p>
      </dgm:t>
    </dgm:pt>
    <dgm:pt modelId="{E0B1812C-005B-4285-A788-3613D2B502A5}" type="sibTrans" cxnId="{9390997F-B77A-4E6A-81D1-A455B6927887}">
      <dgm:prSet/>
      <dgm:spPr/>
      <dgm:t>
        <a:bodyPr/>
        <a:lstStyle/>
        <a:p>
          <a:endParaRPr lang="pt-BR"/>
        </a:p>
      </dgm:t>
    </dgm:pt>
    <dgm:pt modelId="{7533822B-35C2-4414-8067-8395B2342822}" type="pres">
      <dgm:prSet presAssocID="{AD9BFD1D-18DE-4D88-847A-7086B31E48D4}" presName="arrowDiagram" presStyleCnt="0">
        <dgm:presLayoutVars>
          <dgm:chMax val="5"/>
          <dgm:dir/>
          <dgm:resizeHandles val="exact"/>
        </dgm:presLayoutVars>
      </dgm:prSet>
      <dgm:spPr/>
    </dgm:pt>
    <dgm:pt modelId="{A4ECA0F8-02B0-406E-A116-86DCDB34366E}" type="pres">
      <dgm:prSet presAssocID="{AD9BFD1D-18DE-4D88-847A-7086B31E48D4}" presName="arrow" presStyleLbl="bgShp" presStyleIdx="0" presStyleCnt="1" custAng="21240000" custScaleX="88964" custScaleY="26470" custLinFactNeighborX="-21548" custLinFactNeighborY="-16853"/>
      <dgm:spPr>
        <a:solidFill>
          <a:srgbClr val="1E6935"/>
        </a:solidFill>
      </dgm:spPr>
    </dgm:pt>
    <dgm:pt modelId="{B95F2E77-3E6B-462C-8002-3E897E9F1ADF}" type="pres">
      <dgm:prSet presAssocID="{AD9BFD1D-18DE-4D88-847A-7086B31E48D4}" presName="arrowDiagram1" presStyleCnt="0">
        <dgm:presLayoutVars>
          <dgm:bulletEnabled val="1"/>
        </dgm:presLayoutVars>
      </dgm:prSet>
      <dgm:spPr/>
    </dgm:pt>
    <dgm:pt modelId="{EA30E9C7-1749-487E-8E0F-C5AA82280BA6}" type="pres">
      <dgm:prSet presAssocID="{21021625-E023-4241-AD77-1328FD54BA30}" presName="bullet1" presStyleLbl="node1" presStyleIdx="0" presStyleCnt="1" custLinFactX="200000" custLinFactY="-54278" custLinFactNeighborX="272872" custLinFactNeighborY="-100000"/>
      <dgm:spPr>
        <a:solidFill>
          <a:sysClr val="window" lastClr="FFFFFF"/>
        </a:solidFill>
      </dgm:spPr>
    </dgm:pt>
    <dgm:pt modelId="{0F1D4CCE-B07C-42B1-9BF7-B15F9CA9881C}" type="pres">
      <dgm:prSet presAssocID="{21021625-E023-4241-AD77-1328FD54BA30}" presName="textBox1" presStyleLbl="revTx" presStyleIdx="0" presStyleCnt="1" custScaleY="29445" custLinFactNeighborX="-61804" custLinFactNeighborY="-62105">
        <dgm:presLayoutVars>
          <dgm:bulletEnabled val="1"/>
        </dgm:presLayoutVars>
      </dgm:prSet>
      <dgm:spPr/>
    </dgm:pt>
  </dgm:ptLst>
  <dgm:cxnLst>
    <dgm:cxn modelId="{2E684D4E-9AAF-419C-B6E8-572EA456046E}" type="presOf" srcId="{21021625-E023-4241-AD77-1328FD54BA30}" destId="{0F1D4CCE-B07C-42B1-9BF7-B15F9CA9881C}" srcOrd="0" destOrd="0" presId="urn:microsoft.com/office/officeart/2005/8/layout/arrow2"/>
    <dgm:cxn modelId="{9390997F-B77A-4E6A-81D1-A455B6927887}" srcId="{AD9BFD1D-18DE-4D88-847A-7086B31E48D4}" destId="{21021625-E023-4241-AD77-1328FD54BA30}" srcOrd="0" destOrd="0" parTransId="{89F13165-0321-4B20-AC3C-19592B9E1594}" sibTransId="{E0B1812C-005B-4285-A788-3613D2B502A5}"/>
    <dgm:cxn modelId="{F9F02596-B902-4C31-B538-6CD60E356778}" type="presOf" srcId="{AD9BFD1D-18DE-4D88-847A-7086B31E48D4}" destId="{7533822B-35C2-4414-8067-8395B2342822}" srcOrd="0" destOrd="0" presId="urn:microsoft.com/office/officeart/2005/8/layout/arrow2"/>
    <dgm:cxn modelId="{EF2A2A48-1127-443F-95C3-7A1018F0ED95}" type="presParOf" srcId="{7533822B-35C2-4414-8067-8395B2342822}" destId="{A4ECA0F8-02B0-406E-A116-86DCDB34366E}" srcOrd="0" destOrd="0" presId="urn:microsoft.com/office/officeart/2005/8/layout/arrow2"/>
    <dgm:cxn modelId="{17EBBA5B-FC0D-41E1-94C7-51024DC63E15}" type="presParOf" srcId="{7533822B-35C2-4414-8067-8395B2342822}" destId="{B95F2E77-3E6B-462C-8002-3E897E9F1ADF}" srcOrd="1" destOrd="0" presId="urn:microsoft.com/office/officeart/2005/8/layout/arrow2"/>
    <dgm:cxn modelId="{19EDB034-A93F-403C-9364-89BB916C7204}" type="presParOf" srcId="{B95F2E77-3E6B-462C-8002-3E897E9F1ADF}" destId="{EA30E9C7-1749-487E-8E0F-C5AA82280BA6}" srcOrd="0" destOrd="0" presId="urn:microsoft.com/office/officeart/2005/8/layout/arrow2"/>
    <dgm:cxn modelId="{C971CC65-1CF1-421D-B9C2-8E6AB7CE718B}" type="presParOf" srcId="{B95F2E77-3E6B-462C-8002-3E897E9F1ADF}" destId="{0F1D4CCE-B07C-42B1-9BF7-B15F9CA9881C}" srcOrd="1" destOrd="0" presId="urn:microsoft.com/office/officeart/2005/8/layout/arrow2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4ECA0F8-02B0-406E-A116-86DCDB34366E}">
      <dsp:nvSpPr>
        <dsp:cNvPr id="0" name=""/>
        <dsp:cNvSpPr/>
      </dsp:nvSpPr>
      <dsp:spPr>
        <a:xfrm rot="21240000">
          <a:off x="532962" y="433917"/>
          <a:ext cx="2710246" cy="503997"/>
        </a:xfrm>
        <a:prstGeom prst="swooshArrow">
          <a:avLst>
            <a:gd name="adj1" fmla="val 25000"/>
            <a:gd name="adj2" fmla="val 25000"/>
          </a:avLst>
        </a:prstGeom>
        <a:solidFill>
          <a:srgbClr val="1E6935"/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EA30E9C7-1749-487E-8E0F-C5AA82280BA6}">
      <dsp:nvSpPr>
        <dsp:cNvPr id="0" name=""/>
        <dsp:cNvSpPr/>
      </dsp:nvSpPr>
      <dsp:spPr>
        <a:xfrm>
          <a:off x="4411782" y="93124"/>
          <a:ext cx="225437" cy="225437"/>
        </a:xfrm>
        <a:prstGeom prst="ellipse">
          <a:avLst/>
        </a:prstGeom>
        <a:solidFill>
          <a:sysClr val="window" lastClr="FFFF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F1D4CCE-B07C-42B1-9BF7-B15F9CA9881C}">
      <dsp:nvSpPr>
        <dsp:cNvPr id="0" name=""/>
        <dsp:cNvSpPr/>
      </dsp:nvSpPr>
      <dsp:spPr>
        <a:xfrm>
          <a:off x="1486757" y="176669"/>
          <a:ext cx="1218581" cy="413754"/>
        </a:xfrm>
        <a:prstGeom prst="round2Diag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119455" bIns="0" numCol="1" spcCol="1270" anchor="t" anchorCtr="0">
          <a:noAutofit/>
        </a:bodyPr>
        <a:lstStyle/>
        <a:p>
          <a:pPr marL="0" lvl="0" indent="0" algn="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>
              <a:solidFill>
                <a:sysClr val="windowText" lastClr="000000"/>
              </a:solidFill>
            </a:rPr>
            <a:t>40%</a:t>
          </a:r>
        </a:p>
      </dsp:txBody>
      <dsp:txXfrm>
        <a:off x="1506955" y="196867"/>
        <a:ext cx="1178185" cy="37335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arrow2">
  <dgm:title val=""/>
  <dgm:desc val=""/>
  <dgm:catLst>
    <dgm:cat type="process" pri="2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arrowDiagram">
    <dgm:varLst>
      <dgm:chMax val="5"/>
      <dgm:dir/>
      <dgm:resizeHandles val="exact"/>
    </dgm:varLst>
    <dgm:alg type="composite">
      <dgm:param type="ar" val="1.6"/>
    </dgm:alg>
    <dgm:shape xmlns:r="http://schemas.openxmlformats.org/officeDocument/2006/relationships" r:blip="">
      <dgm:adjLst/>
    </dgm:shape>
    <dgm:presOf/>
    <dgm:constrLst>
      <dgm:constr type="l" for="ch" forName="arrow"/>
      <dgm:constr type="t" for="ch" forName="arrow"/>
      <dgm:constr type="w" for="ch" forName="arrow" refType="w"/>
      <dgm:constr type="h" for="ch" forName="arrow" refType="h"/>
      <dgm:constr type="ctrX" for="ch" forName="arrowDiagram1" refType="w" fact="0.5"/>
      <dgm:constr type="ctrY" for="ch" forName="arrowDiagram1" refType="h" fact="0.5"/>
      <dgm:constr type="w" for="ch" forName="arrowDiagram1" refType="w"/>
      <dgm:constr type="h" for="ch" forName="arrowDiagram1" refType="h"/>
      <dgm:constr type="ctrX" for="ch" forName="arrowDiagram2" refType="w" fact="0.5"/>
      <dgm:constr type="ctrY" for="ch" forName="arrowDiagram2" refType="h" fact="0.5"/>
      <dgm:constr type="w" for="ch" forName="arrowDiagram2" refType="w"/>
      <dgm:constr type="h" for="ch" forName="arrowDiagram2" refType="h"/>
      <dgm:constr type="ctrX" for="ch" forName="arrowDiagram3" refType="w" fact="0.5"/>
      <dgm:constr type="ctrY" for="ch" forName="arrowDiagram3" refType="h" fact="0.5"/>
      <dgm:constr type="w" for="ch" forName="arrowDiagram3" refType="w"/>
      <dgm:constr type="h" for="ch" forName="arrowDiagram3" refType="h"/>
      <dgm:constr type="ctrX" for="ch" forName="arrowDiagram4" refType="w" fact="0.5"/>
      <dgm:constr type="ctrY" for="ch" forName="arrowDiagram4" refType="h" fact="0.5"/>
      <dgm:constr type="w" for="ch" forName="arrowDiagram4" refType="w"/>
      <dgm:constr type="h" for="ch" forName="arrowDiagram4" refType="h"/>
      <dgm:constr type="ctrX" for="ch" forName="arrowDiagram5" refType="w" fact="0.5"/>
      <dgm:constr type="ctrY" for="ch" forName="arrowDiagram5" refType="h" fact="0.5"/>
      <dgm:constr type="w" for="ch" forName="arrowDiagram5" refType="w"/>
      <dgm:constr type="h" for="ch" forName="arrowDiagram5" refType="h"/>
    </dgm:constrLst>
    <dgm:ruleLst/>
    <dgm:choose name="Name0">
      <dgm:if name="Name1" axis="ch" ptType="node" func="cnt" op="gte" val="1">
        <dgm:layoutNode name="arrow" styleLbl="bgShp">
          <dgm:alg type="sp"/>
          <dgm:shape xmlns:r="http://schemas.openxmlformats.org/officeDocument/2006/relationships" type="swooshArrow" r:blip="">
            <dgm:adjLst>
              <dgm:adj idx="2" val="0.25"/>
            </dgm:adjLst>
          </dgm:shape>
          <dgm:presOf/>
          <dgm:constrLst/>
          <dgm:ruleLst/>
        </dgm:layoutNode>
        <dgm:choose name="Name2">
          <dgm:if name="Name3" axis="ch" ptType="node" func="cnt" op="lt" val="1"/>
          <dgm:if name="Name4" axis="ch" ptType="node" func="cnt" op="equ" val="1">
            <dgm:layoutNode name="arrowDiagram1">
              <dgm:varLst>
                <dgm:bulletEnabled val="1"/>
              </dgm:varLst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onstrLst>
                <dgm:constr type="ctrX" for="ch" forName="bullet1" refType="w" fact="0.8"/>
                <dgm:constr type="ctrY" for="ch" forName="bullet1" refType="h" fact="0.262"/>
                <dgm:constr type="w" for="ch" forName="bullet1" refType="w" fact="0.074"/>
                <dgm:constr type="h" for="ch" forName="bullet1" refType="w" refFor="ch" refForName="bullet1"/>
                <dgm:constr type="r" for="ch" forName="textBox1" refType="ctrX" refFor="ch" refForName="bullet1"/>
                <dgm:constr type="t" for="ch" forName="textBox1" refType="ctrY" refFor="ch" refForName="bullet1"/>
                <dgm:constr type="w" for="ch" forName="textBox1" refType="w" fact="0.4"/>
                <dgm:constr type="h" for="ch" forName="textBox1" refType="h" fact="0.738"/>
                <dgm:constr type="userA" refType="h" refFor="ch" refForName="bullet1" fact="0.53"/>
                <dgm:constr type="rMarg" for="ch" forName="textBox1" refType="userA" fact="2.834"/>
                <dgm:constr type="primFontSz" for="ch" ptType="node" op="equ" val="65"/>
              </dgm:constrLst>
              <dgm:ruleLst/>
              <dgm:forEach name="Name5" axis="ch" ptType="node" cnt="1">
                <dgm:layoutNode name="bullet1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1" styleLbl="revTx">
                  <dgm:varLst>
                    <dgm:bulletEnabled val="1"/>
                  </dgm:varLst>
                  <dgm:alg type="tx">
                    <dgm:param type="txAnchorVert" val="t"/>
                    <dgm:param type="parTxLTRAlign" val="r"/>
                    <dgm:param type="parTxRTLAlign" val="r"/>
                  </dgm:alg>
                  <dgm:shape xmlns:r="http://schemas.openxmlformats.org/officeDocument/2006/relationships" type="round2DiagRect" r:blip="">
                    <dgm:adjLst/>
                  </dgm:shape>
                  <dgm:presOf axis="desOrSelf" ptType="node"/>
                  <dgm:constrLst>
                    <dgm:constr type="lMarg"/>
                    <dgm:constr type="tMarg"/>
                    <dgm:constr type="bMarg"/>
                  </dgm:constrLst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6" axis="ch" ptType="node" func="cnt" op="equ" val="2">
            <dgm:layoutNode name="arrowDiagram2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7">
                <dgm:if name="Name8" func="var" arg="dir" op="equ" val="norm">
                  <dgm:constrLst>
                    <dgm:constr type="ctrX" for="ch" forName="bullet2a" refType="w" fact="0.25"/>
                    <dgm:constr type="ctrY" for="ch" forName="bullet2a" refType="h" fact="0.573"/>
                    <dgm:constr type="w" for="ch" forName="bullet2a" refType="w" fact="0.035"/>
                    <dgm:constr type="h" for="ch" forName="bullet2a" refType="w" refFor="ch" refForName="bullet2a"/>
                    <dgm:constr type="l" for="ch" forName="textBox2a" refType="ctrX" refFor="ch" refForName="bullet2a"/>
                    <dgm:constr type="t" for="ch" forName="textBox2a" refType="ctrY" refFor="ch" refForName="bullet2a"/>
                    <dgm:constr type="w" for="ch" forName="textBox2a" refType="w" fact="0.325"/>
                    <dgm:constr type="h" for="ch" forName="textBox2a" refType="h" fact="0.427"/>
                    <dgm:constr type="userA" refType="h" refFor="ch" refForName="bullet2a" fact="0.53"/>
                    <dgm:constr type="lMarg" for="ch" forName="textBox2a" refType="userA" fact="2.834"/>
                    <dgm:constr type="ctrX" for="ch" forName="bullet2b" refType="w" fact="0.585"/>
                    <dgm:constr type="ctrY" for="ch" forName="bullet2b" refType="h" fact="0.338"/>
                    <dgm:constr type="w" for="ch" forName="bullet2b" refType="w" fact="0.06"/>
                    <dgm:constr type="h" for="ch" forName="bullet2b" refType="w" refFor="ch" refForName="bullet2b"/>
                    <dgm:constr type="l" for="ch" forName="textBox2b" refType="ctrX" refFor="ch" refForName="bullet2b"/>
                    <dgm:constr type="t" for="ch" forName="textBox2b" refType="ctrY" refFor="ch" refForName="bullet2b"/>
                    <dgm:constr type="w" for="ch" forName="textBox2b" refType="w" fact="0.325"/>
                    <dgm:constr type="h" for="ch" forName="textBox2b" refType="h" fact="0.662"/>
                    <dgm:constr type="userB" refType="h" refFor="ch" refForName="bullet2b" fact="0.53"/>
                    <dgm:constr type="lMarg" for="ch" forName="textBox2b" refType="userB" fact="2.834"/>
                    <dgm:constr type="primFontSz" for="ch" ptType="node" op="equ" val="65"/>
                  </dgm:constrLst>
                </dgm:if>
                <dgm:else name="Name9">
                  <dgm:constrLst>
                    <dgm:constr type="ctrX" for="ch" forName="bullet2a" refType="w" fact="0.25"/>
                    <dgm:constr type="ctrY" for="ch" forName="bullet2a" refType="h" fact="0.573"/>
                    <dgm:constr type="w" for="ch" forName="bullet2a" refType="w" fact="0.035"/>
                    <dgm:constr type="h" for="ch" forName="bullet2a" refType="w" refFor="ch" refForName="bullet2a"/>
                    <dgm:constr type="r" for="ch" forName="textBox2a" refType="ctrX" refFor="ch" refForName="bullet2a"/>
                    <dgm:constr type="b" for="ch" forName="textBox2a" refType="ctrY" refFor="ch" refForName="bullet2a"/>
                    <dgm:constr type="w" for="ch" forName="textBox2a" refType="w" fact="0.25"/>
                    <dgm:constr type="h" for="ch" forName="textBox2a" refType="h" fact="0.573"/>
                    <dgm:constr type="userA" refType="h" refFor="ch" refForName="bullet2a" fact="0.53"/>
                    <dgm:constr type="rMarg" for="ch" forName="textBox2a" refType="userA" fact="2.834"/>
                    <dgm:constr type="ctrX" for="ch" forName="bullet2b" refType="w" fact="0.585"/>
                    <dgm:constr type="ctrY" for="ch" forName="bullet2b" refType="h" fact="0.338"/>
                    <dgm:constr type="w" for="ch" forName="bullet2b" refType="w" fact="0.06"/>
                    <dgm:constr type="h" for="ch" forName="bullet2b" refType="w" refFor="ch" refForName="bullet2b"/>
                    <dgm:constr type="r" for="ch" forName="textBox2b" refType="ctrX" refFor="ch" refForName="bullet2b"/>
                    <dgm:constr type="b" for="ch" forName="textBox2b" refType="ctrY" refFor="ch" refForName="bullet2b"/>
                    <dgm:constr type="w" for="ch" forName="textBox2b" refType="w" fact="0.28"/>
                    <dgm:constr type="h" for="ch" forName="textBox2b" refType="h" fact="0.338"/>
                    <dgm:constr type="userB" refType="h" refFor="ch" refForName="bullet2b" fact="0.53"/>
                    <dgm:constr type="rMarg" for="ch" forName="textBox2b" refType="userB" fact="2.834"/>
                    <dgm:constr type="primFontSz" for="ch" ptType="node" op="equ" val="65"/>
                  </dgm:constrLst>
                </dgm:else>
              </dgm:choose>
              <dgm:ruleLst/>
              <dgm:forEach name="Name10" axis="ch" ptType="node" cnt="1">
                <dgm:layoutNode name="bullet2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2a" styleLbl="revTx">
                  <dgm:varLst>
                    <dgm:bulletEnabled val="1"/>
                  </dgm:varLst>
                  <dgm:choose name="Name11">
                    <dgm:if name="Name12" func="var" arg="dir" op="equ" val="norm">
                      <dgm:choose name="Name13">
                        <dgm:if name="Name14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5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6">
                      <dgm:choose name="Name17">
                        <dgm:if name="Name18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9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20">
                    <dgm:if name="Name21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22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23" axis="ch" ptType="node" st="2" cnt="1">
                <dgm:layoutNode name="bullet2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2b" styleLbl="revTx">
                  <dgm:varLst>
                    <dgm:bulletEnabled val="1"/>
                  </dgm:varLst>
                  <dgm:choose name="Name24">
                    <dgm:if name="Name25" func="var" arg="dir" op="equ" val="norm">
                      <dgm:choose name="Name26">
                        <dgm:if name="Name2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2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29">
                      <dgm:choose name="Name30">
                        <dgm:if name="Name3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3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33">
                    <dgm:if name="Name3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3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36" axis="ch" ptType="node" func="cnt" op="equ" val="3">
            <dgm:layoutNode name="arrowDiagram3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37">
                <dgm:if name="Name38" func="var" arg="dir" op="equ" val="norm">
                  <dgm:constrLst>
                    <dgm:constr type="ctrX" for="ch" forName="bullet3a" refType="w" fact="0.14"/>
                    <dgm:constr type="ctrY" for="ch" forName="bullet3a" refType="h" fact="0.711"/>
                    <dgm:constr type="w" for="ch" forName="bullet3a" refType="w" fact="0.026"/>
                    <dgm:constr type="h" for="ch" forName="bullet3a" refType="w" refFor="ch" refForName="bullet3a"/>
                    <dgm:constr type="l" for="ch" forName="textBox3a" refType="ctrX" refFor="ch" refForName="bullet3a"/>
                    <dgm:constr type="t" for="ch" forName="textBox3a" refType="ctrY" refFor="ch" refForName="bullet3a"/>
                    <dgm:constr type="w" for="ch" forName="textBox3a" refType="w" fact="0.233"/>
                    <dgm:constr type="h" for="ch" forName="textBox3a" refType="h" fact="0.289"/>
                    <dgm:constr type="userA" refType="h" refFor="ch" refForName="bullet3a" fact="0.53"/>
                    <dgm:constr type="lMarg" for="ch" forName="textBox3a" refType="userA" fact="2.834"/>
                    <dgm:constr type="ctrX" for="ch" forName="bullet3b" refType="w" fact="0.38"/>
                    <dgm:constr type="ctrY" for="ch" forName="bullet3b" refType="h" fact="0.456"/>
                    <dgm:constr type="w" for="ch" forName="bullet3b" refType="w" fact="0.047"/>
                    <dgm:constr type="h" for="ch" forName="bullet3b" refType="w" refFor="ch" refForName="bullet3b"/>
                    <dgm:constr type="l" for="ch" forName="textBox3b" refType="ctrX" refFor="ch" refForName="bullet3b"/>
                    <dgm:constr type="t" for="ch" forName="textBox3b" refType="ctrY" refFor="ch" refForName="bullet3b"/>
                    <dgm:constr type="w" for="ch" forName="textBox3b" refType="w" fact="0.24"/>
                    <dgm:constr type="h" for="ch" forName="textBox3b" refType="h" fact="0.544"/>
                    <dgm:constr type="userB" refType="h" refFor="ch" refForName="bullet3b" fact="0.53"/>
                    <dgm:constr type="lMarg" for="ch" forName="textBox3b" refType="userB" fact="2.834"/>
                    <dgm:constr type="ctrX" for="ch" forName="bullet3c" refType="w" fact="0.665"/>
                    <dgm:constr type="ctrY" for="ch" forName="bullet3c" refType="h" fact="0.305"/>
                    <dgm:constr type="w" for="ch" forName="bullet3c" refType="w" fact="0.065"/>
                    <dgm:constr type="h" for="ch" forName="bullet3c" refType="w" refFor="ch" refForName="bullet3c"/>
                    <dgm:constr type="l" for="ch" forName="textBox3c" refType="ctrX" refFor="ch" refForName="bullet3c"/>
                    <dgm:constr type="t" for="ch" forName="textBox3c" refType="ctrY" refFor="ch" refForName="bullet3c"/>
                    <dgm:constr type="w" for="ch" forName="textBox3c" refType="w" fact="0.24"/>
                    <dgm:constr type="h" for="ch" forName="textBox3c" refType="h" fact="0.695"/>
                    <dgm:constr type="userC" refType="h" refFor="ch" refForName="bullet3c" fact="0.53"/>
                    <dgm:constr type="lMarg" for="ch" forName="textBox3c" refType="userC" fact="2.834"/>
                    <dgm:constr type="primFontSz" for="ch" ptType="node" op="equ" val="65"/>
                  </dgm:constrLst>
                </dgm:if>
                <dgm:else name="Name39">
                  <dgm:constrLst>
                    <dgm:constr type="ctrX" for="ch" forName="bullet3a" refType="w" fact="0.14"/>
                    <dgm:constr type="ctrY" for="ch" forName="bullet3a" refType="h" fact="0.711"/>
                    <dgm:constr type="w" for="ch" forName="bullet3a" refType="w" fact="0.026"/>
                    <dgm:constr type="h" for="ch" forName="bullet3a" refType="w" refFor="ch" refForName="bullet3a"/>
                    <dgm:constr type="r" for="ch" forName="textBox3a" refType="ctrX" refFor="ch" refForName="bullet3a"/>
                    <dgm:constr type="b" for="ch" forName="textBox3a" refType="ctrY" refFor="ch" refForName="bullet3a"/>
                    <dgm:constr type="w" for="ch" forName="textBox3a" refType="w" fact="0.14"/>
                    <dgm:constr type="h" for="ch" forName="textBox3a" refType="h" fact="0.711"/>
                    <dgm:constr type="userA" refType="h" refFor="ch" refForName="bullet3a" fact="0.53"/>
                    <dgm:constr type="rMarg" for="ch" forName="textBox3a" refType="userA" fact="2.834"/>
                    <dgm:constr type="ctrX" for="ch" forName="bullet3b" refType="w" fact="0.38"/>
                    <dgm:constr type="ctrY" for="ch" forName="bullet3b" refType="h" fact="0.456"/>
                    <dgm:constr type="w" for="ch" forName="bullet3b" refType="w" fact="0.047"/>
                    <dgm:constr type="h" for="ch" forName="bullet3b" refType="w" refFor="ch" refForName="bullet3b"/>
                    <dgm:constr type="r" for="ch" forName="textBox3b" refType="ctrX" refFor="ch" refForName="bullet3b"/>
                    <dgm:constr type="b" for="ch" forName="textBox3b" refType="ctrY" refFor="ch" refForName="bullet3b"/>
                    <dgm:constr type="w" for="ch" forName="textBox3b" refType="w" fact="0.24"/>
                    <dgm:constr type="h" for="ch" forName="textBox3b" refType="h" fact="0.456"/>
                    <dgm:constr type="userB" refType="h" refFor="ch" refForName="bullet3b" fact="0.53"/>
                    <dgm:constr type="rMarg" for="ch" forName="textBox3b" refType="userB" fact="2.834"/>
                    <dgm:constr type="ctrX" for="ch" forName="bullet3c" refType="w" fact="0.665"/>
                    <dgm:constr type="ctrY" for="ch" forName="bullet3c" refType="h" fact="0.305"/>
                    <dgm:constr type="w" for="ch" forName="bullet3c" refType="w" fact="0.065"/>
                    <dgm:constr type="h" for="ch" forName="bullet3c" refType="w" refFor="ch" refForName="bullet3c"/>
                    <dgm:constr type="r" for="ch" forName="textBox3c" refType="ctrX" refFor="ch" refForName="bullet3c"/>
                    <dgm:constr type="b" for="ch" forName="textBox3c" refType="ctrY" refFor="ch" refForName="bullet3c"/>
                    <dgm:constr type="w" for="ch" forName="textBox3c" refType="w" fact="0.24"/>
                    <dgm:constr type="h" for="ch" forName="textBox3c" refType="h" fact="0.305"/>
                    <dgm:constr type="userC" refType="h" refFor="ch" refForName="bullet3c" fact="0.53"/>
                    <dgm:constr type="rMarg" for="ch" forName="textBox3c" refType="userC" fact="2.834"/>
                    <dgm:constr type="primFontSz" for="ch" ptType="node" op="equ" val="65"/>
                  </dgm:constrLst>
                </dgm:else>
              </dgm:choose>
              <dgm:ruleLst/>
              <dgm:forEach name="Name40" axis="ch" ptType="node" cnt="1">
                <dgm:layoutNode name="bullet3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a" styleLbl="revTx">
                  <dgm:varLst>
                    <dgm:bulletEnabled val="1"/>
                  </dgm:varLst>
                  <dgm:choose name="Name41">
                    <dgm:if name="Name42" func="var" arg="dir" op="equ" val="norm">
                      <dgm:choose name="Name43">
                        <dgm:if name="Name44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45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46">
                      <dgm:choose name="Name47">
                        <dgm:if name="Name48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49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50">
                    <dgm:if name="Name51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52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53" axis="ch" ptType="node" st="2" cnt="1">
                <dgm:layoutNode name="bullet3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b" styleLbl="revTx">
                  <dgm:varLst>
                    <dgm:bulletEnabled val="1"/>
                  </dgm:varLst>
                  <dgm:choose name="Name54">
                    <dgm:if name="Name55" func="var" arg="dir" op="equ" val="norm">
                      <dgm:choose name="Name56">
                        <dgm:if name="Name5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5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59">
                      <dgm:choose name="Name60">
                        <dgm:if name="Name6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6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63">
                    <dgm:if name="Name6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6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66" axis="ch" ptType="node" st="3" cnt="1">
                <dgm:layoutNode name="bullet3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3c" styleLbl="revTx">
                  <dgm:varLst>
                    <dgm:bulletEnabled val="1"/>
                  </dgm:varLst>
                  <dgm:choose name="Name67">
                    <dgm:if name="Name68" func="var" arg="dir" op="equ" val="norm">
                      <dgm:choose name="Name69">
                        <dgm:if name="Name70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71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72">
                      <dgm:choose name="Name73">
                        <dgm:if name="Name74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75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76">
                    <dgm:if name="Name77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78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if name="Name79" axis="ch" ptType="node" func="cnt" op="equ" val="4">
            <dgm:layoutNode name="arrowDiagram4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80">
                <dgm:if name="Name81" func="var" arg="dir" op="equ" val="norm">
                  <dgm:constrLst>
                    <dgm:constr type="ctrX" for="ch" forName="bullet4a" refType="w" fact="0.11"/>
                    <dgm:constr type="ctrY" for="ch" forName="bullet4a" refType="h" fact="0.762"/>
                    <dgm:constr type="w" for="ch" forName="bullet4a" refType="w" fact="0.023"/>
                    <dgm:constr type="h" for="ch" forName="bullet4a" refType="w" refFor="ch" refForName="bullet4a"/>
                    <dgm:constr type="l" for="ch" forName="textBox4a" refType="ctrX" refFor="ch" refForName="bullet4a"/>
                    <dgm:constr type="t" for="ch" forName="textBox4a" refType="ctrY" refFor="ch" refForName="bullet4a"/>
                    <dgm:constr type="w" for="ch" forName="textBox4a" refType="w" fact="0.171"/>
                    <dgm:constr type="h" for="ch" forName="textBox4a" refType="h" fact="0.238"/>
                    <dgm:constr type="userA" refType="h" refFor="ch" refForName="bullet4a" fact="0.53"/>
                    <dgm:constr type="lMarg" for="ch" forName="textBox4a" refType="userA" fact="2.834"/>
                    <dgm:constr type="ctrX" for="ch" forName="bullet4b" refType="w" fact="0.281"/>
                    <dgm:constr type="ctrY" for="ch" forName="bullet4b" refType="h" fact="0.543"/>
                    <dgm:constr type="w" for="ch" forName="bullet4b" refType="w" fact="0.04"/>
                    <dgm:constr type="h" for="ch" forName="bullet4b" refType="w" refFor="ch" refForName="bullet4b"/>
                    <dgm:constr type="l" for="ch" forName="textBox4b" refType="ctrX" refFor="ch" refForName="bullet4b"/>
                    <dgm:constr type="t" for="ch" forName="textBox4b" refType="ctrY" refFor="ch" refForName="bullet4b"/>
                    <dgm:constr type="w" for="ch" forName="textBox4b" refType="w" fact="0.21"/>
                    <dgm:constr type="h" for="ch" forName="textBox4b" refType="h" fact="0.457"/>
                    <dgm:constr type="userB" refType="h" refFor="ch" refForName="bullet4b" fact="0.53"/>
                    <dgm:constr type="lMarg" for="ch" forName="textBox4b" refType="userB" fact="2.834"/>
                    <dgm:constr type="ctrX" for="ch" forName="bullet4c" refType="w" fact="0.495"/>
                    <dgm:constr type="ctrY" for="ch" forName="bullet4c" refType="h" fact="0.382"/>
                    <dgm:constr type="w" for="ch" forName="bullet4c" refType="w" fact="0.053"/>
                    <dgm:constr type="h" for="ch" forName="bullet4c" refType="w" refFor="ch" refForName="bullet4c"/>
                    <dgm:constr type="l" for="ch" forName="textBox4c" refType="ctrX" refFor="ch" refForName="bullet4c"/>
                    <dgm:constr type="t" for="ch" forName="textBox4c" refType="ctrY" refFor="ch" refForName="bullet4c"/>
                    <dgm:constr type="w" for="ch" forName="textBox4c" refType="w" fact="0.21"/>
                    <dgm:constr type="h" for="ch" forName="textBox4c" refType="h" fact="0.618"/>
                    <dgm:constr type="userC" refType="h" refFor="ch" refForName="bullet4c" fact="0.53"/>
                    <dgm:constr type="lMarg" for="ch" forName="textBox4c" refType="userC" fact="2.834"/>
                    <dgm:constr type="ctrX" for="ch" forName="bullet4d" refType="w" fact="0.73"/>
                    <dgm:constr type="ctrY" for="ch" forName="bullet4d" refType="h" fact="0.283"/>
                    <dgm:constr type="w" for="ch" forName="bullet4d" refType="w" fact="0.071"/>
                    <dgm:constr type="h" for="ch" forName="bullet4d" refType="w" refFor="ch" refForName="bullet4d"/>
                    <dgm:constr type="l" for="ch" forName="textBox4d" refType="ctrX" refFor="ch" refForName="bullet4d"/>
                    <dgm:constr type="t" for="ch" forName="textBox4d" refType="ctrY" refFor="ch" refForName="bullet4d"/>
                    <dgm:constr type="w" for="ch" forName="textBox4d" refType="w" fact="0.21"/>
                    <dgm:constr type="h" for="ch" forName="textBox4d" refType="h" fact="0.717"/>
                    <dgm:constr type="userD" refType="h" refFor="ch" refForName="bullet4d" fact="0.53"/>
                    <dgm:constr type="lMarg" for="ch" forName="textBox4d" refType="userD" fact="2.834"/>
                    <dgm:constr type="primFontSz" for="ch" ptType="node" op="equ" val="65"/>
                  </dgm:constrLst>
                </dgm:if>
                <dgm:else name="Name82">
                  <dgm:constrLst>
                    <dgm:constr type="ctrX" for="ch" forName="bullet4a" refType="w" fact="0.11"/>
                    <dgm:constr type="ctrY" for="ch" forName="bullet4a" refType="h" fact="0.762"/>
                    <dgm:constr type="w" for="ch" forName="bullet4a" refType="w" fact="0.023"/>
                    <dgm:constr type="h" for="ch" forName="bullet4a" refType="w" refFor="ch" refForName="bullet4a"/>
                    <dgm:constr type="r" for="ch" forName="textBox4a" refType="ctrX" refFor="ch" refForName="bullet4a"/>
                    <dgm:constr type="b" for="ch" forName="textBox4a" refType="ctrY" refFor="ch" refForName="bullet4a"/>
                    <dgm:constr type="w" for="ch" forName="textBox4a" refType="w" fact="0.11"/>
                    <dgm:constr type="h" for="ch" forName="textBox4a" refType="h" fact="0.762"/>
                    <dgm:constr type="userA" refType="h" refFor="ch" refForName="bullet4a" fact="0.53"/>
                    <dgm:constr type="rMarg" for="ch" forName="textBox4a" refType="userA" fact="2.834"/>
                    <dgm:constr type="ctrX" for="ch" forName="bullet4b" refType="w" fact="0.281"/>
                    <dgm:constr type="ctrY" for="ch" forName="bullet4b" refType="h" fact="0.543"/>
                    <dgm:constr type="w" for="ch" forName="bullet4b" refType="w" fact="0.04"/>
                    <dgm:constr type="h" for="ch" forName="bullet4b" refType="w" refFor="ch" refForName="bullet4b"/>
                    <dgm:constr type="r" for="ch" forName="textBox4b" refType="ctrX" refFor="ch" refForName="bullet4b"/>
                    <dgm:constr type="b" for="ch" forName="textBox4b" refType="ctrY" refFor="ch" refForName="bullet4b"/>
                    <dgm:constr type="w" for="ch" forName="textBox4b" refType="w" fact="0.171"/>
                    <dgm:constr type="h" for="ch" forName="textBox4b" refType="h" fact="0.543"/>
                    <dgm:constr type="userB" refType="h" refFor="ch" refForName="bullet4b" fact="0.53"/>
                    <dgm:constr type="rMarg" for="ch" forName="textBox4b" refType="userB" fact="2.834"/>
                    <dgm:constr type="ctrX" for="ch" forName="bullet4c" refType="w" fact="0.495"/>
                    <dgm:constr type="ctrY" for="ch" forName="bullet4c" refType="h" fact="0.382"/>
                    <dgm:constr type="w" for="ch" forName="bullet4c" refType="w" fact="0.053"/>
                    <dgm:constr type="h" for="ch" forName="bullet4c" refType="w" refFor="ch" refForName="bullet4c"/>
                    <dgm:constr type="r" for="ch" forName="textBox4c" refType="ctrX" refFor="ch" refForName="bullet4c"/>
                    <dgm:constr type="b" for="ch" forName="textBox4c" refType="ctrY" refFor="ch" refForName="bullet4c"/>
                    <dgm:constr type="w" for="ch" forName="textBox4c" refType="w" fact="0.21"/>
                    <dgm:constr type="h" for="ch" forName="textBox4c" refType="h" fact="0.382"/>
                    <dgm:constr type="userC" refType="h" refFor="ch" refForName="bullet4c" fact="0.53"/>
                    <dgm:constr type="rMarg" for="ch" forName="textBox4c" refType="userC" fact="2.834"/>
                    <dgm:constr type="ctrX" for="ch" forName="bullet4d" refType="w" fact="0.73"/>
                    <dgm:constr type="ctrY" for="ch" forName="bullet4d" refType="h" fact="0.283"/>
                    <dgm:constr type="w" for="ch" forName="bullet4d" refType="w" fact="0.071"/>
                    <dgm:constr type="h" for="ch" forName="bullet4d" refType="w" refFor="ch" refForName="bullet4d"/>
                    <dgm:constr type="r" for="ch" forName="textBox4d" refType="ctrX" refFor="ch" refForName="bullet4d"/>
                    <dgm:constr type="b" for="ch" forName="textBox4d" refType="ctrY" refFor="ch" refForName="bullet4d"/>
                    <dgm:constr type="w" for="ch" forName="textBox4d" refType="w" fact="0.21"/>
                    <dgm:constr type="h" for="ch" forName="textBox4d" refType="h" fact="0.283"/>
                    <dgm:constr type="userD" refType="h" refFor="ch" refForName="bullet4d" fact="0.53"/>
                    <dgm:constr type="rMarg" for="ch" forName="textBox4d" refType="userD" fact="2.834"/>
                    <dgm:constr type="primFontSz" for="ch" ptType="node" op="equ" val="65"/>
                  </dgm:constrLst>
                </dgm:else>
              </dgm:choose>
              <dgm:ruleLst/>
              <dgm:forEach name="Name83" axis="ch" ptType="node" cnt="1">
                <dgm:layoutNode name="bullet4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a" styleLbl="revTx">
                  <dgm:varLst>
                    <dgm:bulletEnabled val="1"/>
                  </dgm:varLst>
                  <dgm:choose name="Name84">
                    <dgm:if name="Name85" func="var" arg="dir" op="equ" val="norm">
                      <dgm:choose name="Name86">
                        <dgm:if name="Name87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88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89">
                      <dgm:choose name="Name90">
                        <dgm:if name="Name91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92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93">
                    <dgm:if name="Name94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95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96" axis="ch" ptType="node" st="2" cnt="1">
                <dgm:layoutNode name="bullet4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b" styleLbl="revTx">
                  <dgm:varLst>
                    <dgm:bulletEnabled val="1"/>
                  </dgm:varLst>
                  <dgm:choose name="Name97">
                    <dgm:if name="Name98" func="var" arg="dir" op="equ" val="norm">
                      <dgm:choose name="Name99">
                        <dgm:if name="Name100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01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02">
                      <dgm:choose name="Name103">
                        <dgm:if name="Name104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05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06">
                    <dgm:if name="Name107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08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09" axis="ch" ptType="node" st="3" cnt="1">
                <dgm:layoutNode name="bullet4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c" styleLbl="revTx">
                  <dgm:varLst>
                    <dgm:bulletEnabled val="1"/>
                  </dgm:varLst>
                  <dgm:choose name="Name110">
                    <dgm:if name="Name111" func="var" arg="dir" op="equ" val="norm">
                      <dgm:choose name="Name112">
                        <dgm:if name="Name113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14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15">
                      <dgm:choose name="Name116">
                        <dgm:if name="Name117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18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19">
                    <dgm:if name="Name120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21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22" axis="ch" ptType="node" st="4" cnt="1">
                <dgm:layoutNode name="bullet4d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4d" styleLbl="revTx">
                  <dgm:varLst>
                    <dgm:bulletEnabled val="1"/>
                  </dgm:varLst>
                  <dgm:choose name="Name123">
                    <dgm:if name="Name124" func="var" arg="dir" op="equ" val="norm">
                      <dgm:choose name="Name125">
                        <dgm:if name="Name126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27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28">
                      <dgm:choose name="Name129">
                        <dgm:if name="Name130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31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32">
                    <dgm:if name="Name133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34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if>
          <dgm:else name="Name135">
            <dgm:layoutNode name="arrowDiagram5">
              <dgm:alg type="composite">
                <dgm:param type="vertAlign" val="none"/>
                <dgm:param type="horzAlign" val="none"/>
              </dgm:alg>
              <dgm:shape xmlns:r="http://schemas.openxmlformats.org/officeDocument/2006/relationships" r:blip="">
                <dgm:adjLst/>
              </dgm:shape>
              <dgm:presOf/>
              <dgm:choose name="Name136">
                <dgm:if name="Name137" func="var" arg="dir" op="equ" val="norm">
                  <dgm:constrLst>
                    <dgm:constr type="ctrX" for="ch" forName="bullet5a" refType="w" fact="0.11"/>
                    <dgm:constr type="ctrY" for="ch" forName="bullet5a" refType="h" fact="0.762"/>
                    <dgm:constr type="w" for="ch" forName="bullet5a" refType="w" fact="0.023"/>
                    <dgm:constr type="h" for="ch" forName="bullet5a" refType="w" refFor="ch" refForName="bullet5a"/>
                    <dgm:constr type="l" for="ch" forName="textBox5a" refType="ctrX" refFor="ch" refForName="bullet5a"/>
                    <dgm:constr type="t" for="ch" forName="textBox5a" refType="ctrY" refFor="ch" refForName="bullet5a"/>
                    <dgm:constr type="w" for="ch" forName="textBox5a" refType="w" fact="0.131"/>
                    <dgm:constr type="h" for="ch" forName="textBox5a" refType="h" fact="0.238"/>
                    <dgm:constr type="userA" refType="h" refFor="ch" refForName="bullet5a" fact="0.53"/>
                    <dgm:constr type="lMarg" for="ch" forName="textBox5a" refType="userA" fact="2.834"/>
                    <dgm:constr type="ctrX" for="ch" forName="bullet5b" refType="w" fact="0.241"/>
                    <dgm:constr type="ctrY" for="ch" forName="bullet5b" refType="h" fact="0.581"/>
                    <dgm:constr type="w" for="ch" forName="bullet5b" refType="w" fact="0.036"/>
                    <dgm:constr type="h" for="ch" forName="bullet5b" refType="w" refFor="ch" refForName="bullet5b"/>
                    <dgm:constr type="l" for="ch" forName="textBox5b" refType="ctrX" refFor="ch" refForName="bullet5b"/>
                    <dgm:constr type="t" for="ch" forName="textBox5b" refType="ctrY" refFor="ch" refForName="bullet5b"/>
                    <dgm:constr type="w" for="ch" forName="textBox5b" refType="w" fact="0.166"/>
                    <dgm:constr type="h" for="ch" forName="textBox5b" refType="h" fact="0.419"/>
                    <dgm:constr type="userB" refType="h" refFor="ch" refForName="bullet5b" fact="0.53"/>
                    <dgm:constr type="lMarg" for="ch" forName="textBox5b" refType="userB" fact="2.834"/>
                    <dgm:constr type="ctrX" for="ch" forName="bullet5c" refType="w" fact="0.407"/>
                    <dgm:constr type="ctrY" for="ch" forName="bullet5c" refType="h" fact="0.438"/>
                    <dgm:constr type="w" for="ch" forName="bullet5c" refType="w" fact="0.048"/>
                    <dgm:constr type="h" for="ch" forName="bullet5c" refType="w" refFor="ch" refForName="bullet5c"/>
                    <dgm:constr type="l" for="ch" forName="textBox5c" refType="ctrX" refFor="ch" refForName="bullet5c"/>
                    <dgm:constr type="t" for="ch" forName="textBox5c" refType="ctrY" refFor="ch" refForName="bullet5c"/>
                    <dgm:constr type="w" for="ch" forName="textBox5c" refType="w" fact="0.193"/>
                    <dgm:constr type="h" for="ch" forName="textBox5c" refType="h" fact="0.562"/>
                    <dgm:constr type="userC" refType="h" refFor="ch" refForName="bullet5c" fact="0.53"/>
                    <dgm:constr type="lMarg" for="ch" forName="textBox5c" refType="userC" fact="2.834"/>
                    <dgm:constr type="ctrX" for="ch" forName="bullet5d" refType="w" fact="0.6"/>
                    <dgm:constr type="ctrY" for="ch" forName="bullet5d" refType="h" fact="0.33"/>
                    <dgm:constr type="w" for="ch" forName="bullet5d" refType="w" fact="0.062"/>
                    <dgm:constr type="h" for="ch" forName="bullet5d" refType="w" refFor="ch" refForName="bullet5d"/>
                    <dgm:constr type="l" for="ch" forName="textBox5d" refType="ctrX" refFor="ch" refForName="bullet5d"/>
                    <dgm:constr type="t" for="ch" forName="textBox5d" refType="ctrY" refFor="ch" refForName="bullet5d"/>
                    <dgm:constr type="w" for="ch" forName="textBox5d" refType="w" fact="0.2"/>
                    <dgm:constr type="h" for="ch" forName="textBox5d" refType="h" fact="0.67"/>
                    <dgm:constr type="userD" refType="h" refFor="ch" refForName="bullet5d" fact="0.53"/>
                    <dgm:constr type="lMarg" for="ch" forName="textBox5d" refType="userD" fact="2.834"/>
                    <dgm:constr type="ctrX" for="ch" forName="bullet5e" refType="w" fact="0.8"/>
                    <dgm:constr type="ctrY" for="ch" forName="bullet5e" refType="h" fact="0.264"/>
                    <dgm:constr type="w" for="ch" forName="bullet5e" refType="w" fact="0.079"/>
                    <dgm:constr type="h" for="ch" forName="bullet5e" refType="w" refFor="ch" refForName="bullet5e"/>
                    <dgm:constr type="l" for="ch" forName="textBox5e" refType="ctrX" refFor="ch" refForName="bullet5e"/>
                    <dgm:constr type="t" for="ch" forName="textBox5e" refType="ctrY" refFor="ch" refForName="bullet5e"/>
                    <dgm:constr type="w" for="ch" forName="textBox5e" refType="w" fact="0.2"/>
                    <dgm:constr type="h" for="ch" forName="textBox5e" refType="h" fact="0.736"/>
                    <dgm:constr type="userE" refType="h" refFor="ch" refForName="bullet5e" fact="0.53"/>
                    <dgm:constr type="lMarg" for="ch" forName="textBox5e" refType="userE" fact="2.834"/>
                    <dgm:constr type="primFontSz" for="ch" ptType="node" op="equ" val="65"/>
                  </dgm:constrLst>
                </dgm:if>
                <dgm:else name="Name138">
                  <dgm:constrLst>
                    <dgm:constr type="ctrX" for="ch" forName="bullet5a" refType="w" fact="0.11"/>
                    <dgm:constr type="ctrY" for="ch" forName="bullet5a" refType="h" fact="0.762"/>
                    <dgm:constr type="w" for="ch" forName="bullet5a" refType="w" fact="0.023"/>
                    <dgm:constr type="h" for="ch" forName="bullet5a" refType="w" refFor="ch" refForName="bullet5a"/>
                    <dgm:constr type="r" for="ch" forName="textBox5a" refType="ctrX" refFor="ch" refForName="bullet5a"/>
                    <dgm:constr type="b" for="ch" forName="textBox5a" refType="ctrY" refFor="ch" refForName="bullet5a"/>
                    <dgm:constr type="w" for="ch" forName="textBox5a" refType="w" fact="0.11"/>
                    <dgm:constr type="h" for="ch" forName="textBox5a" refType="h" fact="0.762"/>
                    <dgm:constr type="userA" refType="h" refFor="ch" refForName="bullet5a" fact="0.53"/>
                    <dgm:constr type="rMarg" for="ch" forName="textBox5a" refType="userA" fact="2.834"/>
                    <dgm:constr type="ctrX" for="ch" forName="bullet5b" refType="w" fact="0.241"/>
                    <dgm:constr type="ctrY" for="ch" forName="bullet5b" refType="h" fact="0.581"/>
                    <dgm:constr type="w" for="ch" forName="bullet5b" refType="w" fact="0.036"/>
                    <dgm:constr type="h" for="ch" forName="bullet5b" refType="w" refFor="ch" refForName="bullet5b"/>
                    <dgm:constr type="r" for="ch" forName="textBox5b" refType="ctrX" refFor="ch" refForName="bullet5b"/>
                    <dgm:constr type="b" for="ch" forName="textBox5b" refType="ctrY" refFor="ch" refForName="bullet5b"/>
                    <dgm:constr type="w" for="ch" forName="textBox5b" refType="w" fact="0.131"/>
                    <dgm:constr type="h" for="ch" forName="textBox5b" refType="h" fact="0.581"/>
                    <dgm:constr type="userB" refType="h" refFor="ch" refForName="bullet5b" fact="0.53"/>
                    <dgm:constr type="rMarg" for="ch" forName="textBox5b" refType="userB" fact="2.834"/>
                    <dgm:constr type="ctrX" for="ch" forName="bullet5c" refType="w" fact="0.407"/>
                    <dgm:constr type="ctrY" for="ch" forName="bullet5c" refType="h" fact="0.438"/>
                    <dgm:constr type="w" for="ch" forName="bullet5c" refType="w" fact="0.048"/>
                    <dgm:constr type="h" for="ch" forName="bullet5c" refType="w" refFor="ch" refForName="bullet5c"/>
                    <dgm:constr type="r" for="ch" forName="textBox5c" refType="ctrX" refFor="ch" refForName="bullet5c"/>
                    <dgm:constr type="b" for="ch" forName="textBox5c" refType="ctrY" refFor="ch" refForName="bullet5c"/>
                    <dgm:constr type="w" for="ch" forName="textBox5c" refType="w" fact="0.166"/>
                    <dgm:constr type="h" for="ch" forName="textBox5c" refType="h" fact="0.438"/>
                    <dgm:constr type="userC" refType="h" refFor="ch" refForName="bullet5c" fact="0.53"/>
                    <dgm:constr type="rMarg" for="ch" forName="textBox5c" refType="userC" fact="2.834"/>
                    <dgm:constr type="ctrX" for="ch" forName="bullet5d" refType="w" fact="0.6"/>
                    <dgm:constr type="ctrY" for="ch" forName="bullet5d" refType="h" fact="0.33"/>
                    <dgm:constr type="w" for="ch" forName="bullet5d" refType="w" fact="0.062"/>
                    <dgm:constr type="h" for="ch" forName="bullet5d" refType="w" refFor="ch" refForName="bullet5d"/>
                    <dgm:constr type="r" for="ch" forName="textBox5d" refType="ctrX" refFor="ch" refForName="bullet5d"/>
                    <dgm:constr type="b" for="ch" forName="textBox5d" refType="ctrY" refFor="ch" refForName="bullet5d"/>
                    <dgm:constr type="w" for="ch" forName="textBox5d" refType="w" fact="0.193"/>
                    <dgm:constr type="h" for="ch" forName="textBox5d" refType="h" fact="0.33"/>
                    <dgm:constr type="userD" refType="h" refFor="ch" refForName="bullet5d" fact="0.53"/>
                    <dgm:constr type="rMarg" for="ch" forName="textBox5d" refType="userD" fact="2.834"/>
                    <dgm:constr type="ctrX" for="ch" forName="bullet5e" refType="w" fact="0.8"/>
                    <dgm:constr type="ctrY" for="ch" forName="bullet5e" refType="h" fact="0.264"/>
                    <dgm:constr type="w" for="ch" forName="bullet5e" refType="w" fact="0.079"/>
                    <dgm:constr type="h" for="ch" forName="bullet5e" refType="w" refFor="ch" refForName="bullet5e"/>
                    <dgm:constr type="r" for="ch" forName="textBox5e" refType="ctrX" refFor="ch" refForName="bullet5e"/>
                    <dgm:constr type="b" for="ch" forName="textBox5e" refType="ctrY" refFor="ch" refForName="bullet5e"/>
                    <dgm:constr type="w" for="ch" forName="textBox5e" refType="w" fact="0.2"/>
                    <dgm:constr type="h" for="ch" forName="textBox5e" refType="h" fact="0.264"/>
                    <dgm:constr type="userE" refType="h" refFor="ch" refForName="bullet5e" fact="0.53"/>
                    <dgm:constr type="rMarg" for="ch" forName="textBox5e" refType="userE" fact="2.834"/>
                    <dgm:constr type="primFontSz" for="ch" ptType="node" op="equ" val="65"/>
                  </dgm:constrLst>
                </dgm:else>
              </dgm:choose>
              <dgm:ruleLst/>
              <dgm:forEach name="Name139" axis="ch" ptType="node" cnt="1">
                <dgm:layoutNode name="bullet5a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a" styleLbl="revTx">
                  <dgm:varLst>
                    <dgm:bulletEnabled val="1"/>
                  </dgm:varLst>
                  <dgm:choose name="Name140">
                    <dgm:if name="Name141" func="var" arg="dir" op="equ" val="norm">
                      <dgm:choose name="Name142">
                        <dgm:if name="Name143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44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45">
                      <dgm:choose name="Name146">
                        <dgm:if name="Name147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48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49">
                    <dgm:if name="Name150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51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52" axis="ch" ptType="node" st="2" cnt="1">
                <dgm:layoutNode name="bullet5b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b" styleLbl="revTx">
                  <dgm:varLst>
                    <dgm:bulletEnabled val="1"/>
                  </dgm:varLst>
                  <dgm:choose name="Name153">
                    <dgm:if name="Name154" func="var" arg="dir" op="equ" val="norm">
                      <dgm:choose name="Name155">
                        <dgm:if name="Name156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57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58">
                      <dgm:choose name="Name159">
                        <dgm:if name="Name160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61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62">
                    <dgm:if name="Name163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64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65" axis="ch" ptType="node" st="3" cnt="1">
                <dgm:layoutNode name="bullet5c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c" styleLbl="revTx">
                  <dgm:varLst>
                    <dgm:bulletEnabled val="1"/>
                  </dgm:varLst>
                  <dgm:choose name="Name166">
                    <dgm:if name="Name167" func="var" arg="dir" op="equ" val="norm">
                      <dgm:choose name="Name168">
                        <dgm:if name="Name169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70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71">
                      <dgm:choose name="Name172">
                        <dgm:if name="Name173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74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75">
                    <dgm:if name="Name176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77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78" axis="ch" ptType="node" st="4" cnt="1">
                <dgm:layoutNode name="bullet5d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d" styleLbl="revTx">
                  <dgm:varLst>
                    <dgm:bulletEnabled val="1"/>
                  </dgm:varLst>
                  <dgm:choose name="Name179">
                    <dgm:if name="Name180" func="var" arg="dir" op="equ" val="norm">
                      <dgm:choose name="Name181">
                        <dgm:if name="Name182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83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84">
                      <dgm:choose name="Name185">
                        <dgm:if name="Name186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187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188">
                    <dgm:if name="Name189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190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  <dgm:forEach name="Name191" axis="ch" ptType="node" st="5" cnt="1">
                <dgm:layoutNode name="bullet5e" styleLbl="node1">
                  <dgm:alg type="sp"/>
                  <dgm:shape xmlns:r="http://schemas.openxmlformats.org/officeDocument/2006/relationships" type="ellipse" r:blip="">
                    <dgm:adjLst/>
                  </dgm:shape>
                  <dgm:presOf/>
                  <dgm:constrLst/>
                  <dgm:ruleLst/>
                </dgm:layoutNode>
                <dgm:layoutNode name="textBox5e" styleLbl="revTx">
                  <dgm:varLst>
                    <dgm:bulletEnabled val="1"/>
                  </dgm:varLst>
                  <dgm:choose name="Name192">
                    <dgm:if name="Name193" func="var" arg="dir" op="equ" val="norm">
                      <dgm:choose name="Name194">
                        <dgm:if name="Name195" axis="root des" ptType="all node" func="maxDepth" op="gt" val="1">
                          <dgm:alg type="tx">
                            <dgm:param type="txAnchorVert" val="t"/>
                            <dgm:param type="parTxLTRAlign" val="l"/>
                            <dgm:param type="parTxRTLAlign" val="r"/>
                          </dgm:alg>
                        </dgm:if>
                        <dgm:else name="Name196">
                          <dgm:alg type="tx">
                            <dgm:param type="txAnchorVert" val="t"/>
                            <dgm:param type="parTxLTRAlign" val="l"/>
                            <dgm:param type="parTxRTLAlign" val="l"/>
                          </dgm:alg>
                        </dgm:else>
                      </dgm:choose>
                    </dgm:if>
                    <dgm:else name="Name197">
                      <dgm:choose name="Name198">
                        <dgm:if name="Name199" axis="root des" ptType="all node" func="maxDepth" op="gt" val="1">
                          <dgm:alg type="tx">
                            <dgm:param type="txAnchorVert" val="b"/>
                            <dgm:param type="txAnchorVertCh" val="b"/>
                            <dgm:param type="parTxLTRAlign" val="l"/>
                            <dgm:param type="parTxRTLAlign" val="r"/>
                          </dgm:alg>
                        </dgm:if>
                        <dgm:else name="Name200">
                          <dgm:alg type="tx">
                            <dgm:param type="txAnchorVert" val="b"/>
                            <dgm:param type="parTxLTRAlign" val="r"/>
                            <dgm:param type="parTxRTL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rect" r:blip="">
                    <dgm:adjLst/>
                  </dgm:shape>
                  <dgm:presOf axis="desOrSelf" ptType="node"/>
                  <dgm:choose name="Name201">
                    <dgm:if name="Name202" func="var" arg="dir" op="equ" val="norm">
                      <dgm:constrLst>
                        <dgm:constr type="rMarg"/>
                        <dgm:constr type="tMarg"/>
                        <dgm:constr type="bMarg"/>
                      </dgm:constrLst>
                    </dgm:if>
                    <dgm:else name="Name203">
                      <dgm:constrLst>
                        <dgm:constr type="lMarg"/>
                        <dgm:constr type="tMarg"/>
                        <dgm:constr type="bMarg"/>
                      </dgm:constrLst>
                    </dgm:else>
                  </dgm:choose>
                  <dgm:ruleLst>
                    <dgm:rule type="primFontSz" val="5" fact="NaN" max="NaN"/>
                  </dgm:ruleLst>
                </dgm:layoutNode>
              </dgm:forEach>
            </dgm:layoutNode>
          </dgm:else>
        </dgm:choose>
      </dgm:if>
      <dgm:else name="Name204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1.xml"/><Relationship Id="rId3" Type="http://schemas.openxmlformats.org/officeDocument/2006/relationships/chart" Target="../charts/chart5.xml"/><Relationship Id="rId7" Type="http://schemas.openxmlformats.org/officeDocument/2006/relationships/diagramQuickStyle" Target="../diagrams/quickStyle1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diagramLayout" Target="../diagrams/layout1.xml"/><Relationship Id="rId5" Type="http://schemas.openxmlformats.org/officeDocument/2006/relationships/diagramData" Target="../diagrams/data1.xml"/><Relationship Id="rId10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microsoft.com/office/2007/relationships/diagramDrawing" Target="../diagrams/drawing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4.emf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0</xdr:rowOff>
    </xdr:from>
    <xdr:to>
      <xdr:col>26</xdr:col>
      <xdr:colOff>304800</xdr:colOff>
      <xdr:row>1</xdr:row>
      <xdr:rowOff>129540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697F282-E1BB-4333-8C94-AAFB38B191A0}"/>
            </a:ext>
          </a:extLst>
        </xdr:cNvPr>
        <xdr:cNvSpPr>
          <a:spLocks noChangeAspect="1" noChangeArrowheads="1"/>
        </xdr:cNvSpPr>
      </xdr:nvSpPr>
      <xdr:spPr bwMode="auto">
        <a:xfrm>
          <a:off x="18202275" y="0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26</xdr:col>
      <xdr:colOff>1150059</xdr:colOff>
      <xdr:row>7</xdr:row>
      <xdr:rowOff>91440</xdr:rowOff>
    </xdr:from>
    <xdr:to>
      <xdr:col>33</xdr:col>
      <xdr:colOff>120887</xdr:colOff>
      <xdr:row>24</xdr:row>
      <xdr:rowOff>86708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B68C976-2339-4A50-8F35-F2BBCD777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52334" y="1920240"/>
          <a:ext cx="4142904" cy="3060201"/>
        </a:xfrm>
        <a:prstGeom prst="rect">
          <a:avLst/>
        </a:prstGeom>
      </xdr:spPr>
    </xdr:pic>
    <xdr:clientData/>
  </xdr:twoCellAnchor>
  <xdr:twoCellAnchor editAs="oneCell">
    <xdr:from>
      <xdr:col>26</xdr:col>
      <xdr:colOff>1242060</xdr:colOff>
      <xdr:row>25</xdr:row>
      <xdr:rowOff>38100</xdr:rowOff>
    </xdr:from>
    <xdr:to>
      <xdr:col>27</xdr:col>
      <xdr:colOff>528911</xdr:colOff>
      <xdr:row>29</xdr:row>
      <xdr:rowOff>153996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F49005-D74A-40AE-9335-961008AE9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44335" y="5219700"/>
          <a:ext cx="915627" cy="839796"/>
        </a:xfrm>
        <a:prstGeom prst="rect">
          <a:avLst/>
        </a:prstGeom>
      </xdr:spPr>
    </xdr:pic>
    <xdr:clientData/>
  </xdr:twoCellAnchor>
  <xdr:twoCellAnchor editAs="oneCell">
    <xdr:from>
      <xdr:col>30</xdr:col>
      <xdr:colOff>487680</xdr:colOff>
      <xdr:row>24</xdr:row>
      <xdr:rowOff>91440</xdr:rowOff>
    </xdr:from>
    <xdr:to>
      <xdr:col>32</xdr:col>
      <xdr:colOff>268311</xdr:colOff>
      <xdr:row>30</xdr:row>
      <xdr:rowOff>106772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364BC2D-3DB8-4DB7-A135-508187652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90380" y="5092065"/>
          <a:ext cx="961730" cy="11011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304800</xdr:colOff>
      <xdr:row>1</xdr:row>
      <xdr:rowOff>129540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FA60B06-4C0A-49B3-B22D-101C745961CE}"/>
            </a:ext>
          </a:extLst>
        </xdr:cNvPr>
        <xdr:cNvSpPr>
          <a:spLocks noChangeAspect="1" noChangeArrowheads="1"/>
        </xdr:cNvSpPr>
      </xdr:nvSpPr>
      <xdr:spPr bwMode="auto">
        <a:xfrm>
          <a:off x="13058775" y="0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1508199</xdr:colOff>
      <xdr:row>6</xdr:row>
      <xdr:rowOff>152400</xdr:rowOff>
    </xdr:from>
    <xdr:to>
      <xdr:col>23</xdr:col>
      <xdr:colOff>479027</xdr:colOff>
      <xdr:row>23</xdr:row>
      <xdr:rowOff>54534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80AD293-CD94-4E81-AFCD-F54D3C1F9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6974" y="1257300"/>
          <a:ext cx="4142903" cy="3064434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1524000</xdr:colOff>
      <xdr:row>23</xdr:row>
      <xdr:rowOff>144780</xdr:rowOff>
    </xdr:from>
    <xdr:to>
      <xdr:col>18</xdr:col>
      <xdr:colOff>201251</xdr:colOff>
      <xdr:row>28</xdr:row>
      <xdr:rowOff>85415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10163DF-28FB-4FCB-8E59-6C13A2273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82775" y="4411980"/>
          <a:ext cx="896576" cy="845510"/>
        </a:xfrm>
        <a:prstGeom prst="rect">
          <a:avLst/>
        </a:prstGeom>
      </xdr:spPr>
    </xdr:pic>
    <xdr:clientData/>
  </xdr:twoCellAnchor>
  <xdr:twoCellAnchor editAs="oneCell">
    <xdr:from>
      <xdr:col>18</xdr:col>
      <xdr:colOff>342900</xdr:colOff>
      <xdr:row>23</xdr:row>
      <xdr:rowOff>121920</xdr:rowOff>
    </xdr:from>
    <xdr:to>
      <xdr:col>20</xdr:col>
      <xdr:colOff>123531</xdr:colOff>
      <xdr:row>29</xdr:row>
      <xdr:rowOff>137252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F4B2E75-ECDB-4AC9-AB60-9B967188D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621000" y="4389120"/>
          <a:ext cx="961731" cy="1101182"/>
        </a:xfrm>
        <a:prstGeom prst="rect">
          <a:avLst/>
        </a:prstGeom>
      </xdr:spPr>
    </xdr:pic>
    <xdr:clientData/>
  </xdr:twoCellAnchor>
  <xdr:twoCellAnchor>
    <xdr:from>
      <xdr:col>3</xdr:col>
      <xdr:colOff>15240</xdr:colOff>
      <xdr:row>1</xdr:row>
      <xdr:rowOff>128693</xdr:rowOff>
    </xdr:from>
    <xdr:to>
      <xdr:col>16</xdr:col>
      <xdr:colOff>381000</xdr:colOff>
      <xdr:row>21</xdr:row>
      <xdr:rowOff>55245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1DF8453D-FDB7-4577-939F-D7B00D263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304800</xdr:colOff>
      <xdr:row>1</xdr:row>
      <xdr:rowOff>129540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676A898-C832-4F5E-889C-5F18EDA7E32F}"/>
            </a:ext>
          </a:extLst>
        </xdr:cNvPr>
        <xdr:cNvSpPr>
          <a:spLocks noChangeAspect="1" noChangeArrowheads="1"/>
        </xdr:cNvSpPr>
      </xdr:nvSpPr>
      <xdr:spPr bwMode="auto">
        <a:xfrm>
          <a:off x="12620625" y="0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1150059</xdr:colOff>
      <xdr:row>8</xdr:row>
      <xdr:rowOff>91440</xdr:rowOff>
    </xdr:from>
    <xdr:to>
      <xdr:col>23</xdr:col>
      <xdr:colOff>120887</xdr:colOff>
      <xdr:row>25</xdr:row>
      <xdr:rowOff>3099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2BDB578-CB3E-4510-9B49-BFBDAE4D7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0684" y="1558290"/>
          <a:ext cx="4142903" cy="3064434"/>
        </a:xfrm>
        <a:prstGeom prst="rect">
          <a:avLst/>
        </a:prstGeom>
      </xdr:spPr>
    </xdr:pic>
    <xdr:clientData/>
  </xdr:twoCellAnchor>
  <xdr:twoCellAnchor editAs="oneCell">
    <xdr:from>
      <xdr:col>16</xdr:col>
      <xdr:colOff>1242060</xdr:colOff>
      <xdr:row>26</xdr:row>
      <xdr:rowOff>38100</xdr:rowOff>
    </xdr:from>
    <xdr:to>
      <xdr:col>17</xdr:col>
      <xdr:colOff>528911</xdr:colOff>
      <xdr:row>30</xdr:row>
      <xdr:rowOff>153995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FEC66D7-721E-4C27-AE99-7AF76C80A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2685" y="4829175"/>
          <a:ext cx="915626" cy="839795"/>
        </a:xfrm>
        <a:prstGeom prst="rect">
          <a:avLst/>
        </a:prstGeom>
      </xdr:spPr>
    </xdr:pic>
    <xdr:clientData/>
  </xdr:twoCellAnchor>
  <xdr:twoCellAnchor editAs="oneCell">
    <xdr:from>
      <xdr:col>20</xdr:col>
      <xdr:colOff>487680</xdr:colOff>
      <xdr:row>25</xdr:row>
      <xdr:rowOff>91440</xdr:rowOff>
    </xdr:from>
    <xdr:to>
      <xdr:col>22</xdr:col>
      <xdr:colOff>268311</xdr:colOff>
      <xdr:row>31</xdr:row>
      <xdr:rowOff>106772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558B8AA-C4D8-4E6E-9114-BC6D2CA3E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08730" y="4701540"/>
          <a:ext cx="961731" cy="1101182"/>
        </a:xfrm>
        <a:prstGeom prst="rect">
          <a:avLst/>
        </a:prstGeom>
      </xdr:spPr>
    </xdr:pic>
    <xdr:clientData/>
  </xdr:twoCellAnchor>
  <xdr:twoCellAnchor>
    <xdr:from>
      <xdr:col>3</xdr:col>
      <xdr:colOff>472440</xdr:colOff>
      <xdr:row>4</xdr:row>
      <xdr:rowOff>81068</xdr:rowOff>
    </xdr:from>
    <xdr:to>
      <xdr:col>16</xdr:col>
      <xdr:colOff>838200</xdr:colOff>
      <xdr:row>24</xdr:row>
      <xdr:rowOff>7620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F6999120-22C5-43B4-923A-4214F38D7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304800</xdr:colOff>
      <xdr:row>1</xdr:row>
      <xdr:rowOff>129540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E75D768-C800-4468-8376-04640483257E}"/>
            </a:ext>
          </a:extLst>
        </xdr:cNvPr>
        <xdr:cNvSpPr>
          <a:spLocks noChangeAspect="1" noChangeArrowheads="1"/>
        </xdr:cNvSpPr>
      </xdr:nvSpPr>
      <xdr:spPr bwMode="auto">
        <a:xfrm>
          <a:off x="12620625" y="0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1150059</xdr:colOff>
      <xdr:row>8</xdr:row>
      <xdr:rowOff>91440</xdr:rowOff>
    </xdr:from>
    <xdr:to>
      <xdr:col>23</xdr:col>
      <xdr:colOff>120887</xdr:colOff>
      <xdr:row>24</xdr:row>
      <xdr:rowOff>160791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C8A958B-39D3-48D1-A7A3-166AC995A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70684" y="1558290"/>
          <a:ext cx="4142903" cy="3060201"/>
        </a:xfrm>
        <a:prstGeom prst="rect">
          <a:avLst/>
        </a:prstGeom>
      </xdr:spPr>
    </xdr:pic>
    <xdr:clientData/>
  </xdr:twoCellAnchor>
  <xdr:twoCellAnchor editAs="oneCell">
    <xdr:from>
      <xdr:col>16</xdr:col>
      <xdr:colOff>1242060</xdr:colOff>
      <xdr:row>26</xdr:row>
      <xdr:rowOff>38100</xdr:rowOff>
    </xdr:from>
    <xdr:to>
      <xdr:col>17</xdr:col>
      <xdr:colOff>528911</xdr:colOff>
      <xdr:row>30</xdr:row>
      <xdr:rowOff>153995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A943A90-0435-4491-9AFF-5352BC41C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2685" y="4857750"/>
          <a:ext cx="915626" cy="839795"/>
        </a:xfrm>
        <a:prstGeom prst="rect">
          <a:avLst/>
        </a:prstGeom>
      </xdr:spPr>
    </xdr:pic>
    <xdr:clientData/>
  </xdr:twoCellAnchor>
  <xdr:twoCellAnchor editAs="oneCell">
    <xdr:from>
      <xdr:col>20</xdr:col>
      <xdr:colOff>487680</xdr:colOff>
      <xdr:row>25</xdr:row>
      <xdr:rowOff>91440</xdr:rowOff>
    </xdr:from>
    <xdr:to>
      <xdr:col>22</xdr:col>
      <xdr:colOff>268311</xdr:colOff>
      <xdr:row>31</xdr:row>
      <xdr:rowOff>106772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8CD03ED-4A5A-4CF3-BE83-C8209C0C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08730" y="4730115"/>
          <a:ext cx="961731" cy="1101182"/>
        </a:xfrm>
        <a:prstGeom prst="rect">
          <a:avLst/>
        </a:prstGeom>
      </xdr:spPr>
    </xdr:pic>
    <xdr:clientData/>
  </xdr:twoCellAnchor>
  <xdr:twoCellAnchor>
    <xdr:from>
      <xdr:col>3</xdr:col>
      <xdr:colOff>472440</xdr:colOff>
      <xdr:row>4</xdr:row>
      <xdr:rowOff>81068</xdr:rowOff>
    </xdr:from>
    <xdr:to>
      <xdr:col>16</xdr:col>
      <xdr:colOff>838200</xdr:colOff>
      <xdr:row>24</xdr:row>
      <xdr:rowOff>7620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43DB5933-9F83-4319-9F2B-AE7589680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1</xdr:row>
      <xdr:rowOff>190499</xdr:rowOff>
    </xdr:from>
    <xdr:to>
      <xdr:col>23</xdr:col>
      <xdr:colOff>530679</xdr:colOff>
      <xdr:row>20</xdr:row>
      <xdr:rowOff>149677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82B81-EB5E-402C-8DE1-7A88416BD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1362</xdr:colOff>
      <xdr:row>22</xdr:row>
      <xdr:rowOff>108859</xdr:rowOff>
    </xdr:from>
    <xdr:to>
      <xdr:col>12</xdr:col>
      <xdr:colOff>557893</xdr:colOff>
      <xdr:row>39</xdr:row>
      <xdr:rowOff>163285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D69C8B7-E03D-4BC0-84DC-DC34A12A6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598716</xdr:colOff>
      <xdr:row>4</xdr:row>
      <xdr:rowOff>27214</xdr:rowOff>
    </xdr:from>
    <xdr:to>
      <xdr:col>34</xdr:col>
      <xdr:colOff>149681</xdr:colOff>
      <xdr:row>20</xdr:row>
      <xdr:rowOff>176891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A096D9B-8D2A-46CC-AF12-55680E9FB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</xdr:row>
      <xdr:rowOff>54429</xdr:rowOff>
    </xdr:from>
    <xdr:to>
      <xdr:col>13</xdr:col>
      <xdr:colOff>95250</xdr:colOff>
      <xdr:row>20</xdr:row>
      <xdr:rowOff>136071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8D507E7-E284-4385-A933-67182658D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340178</xdr:colOff>
      <xdr:row>24</xdr:row>
      <xdr:rowOff>163285</xdr:rowOff>
    </xdr:from>
    <xdr:to>
      <xdr:col>12</xdr:col>
      <xdr:colOff>340177</xdr:colOff>
      <xdr:row>34</xdr:row>
      <xdr:rowOff>162318</xdr:rowOff>
    </xdr:to>
    <xdr:graphicFrame macro="">
      <xdr:nvGraphicFramePr>
        <xdr:cNvPr id="6" name="Diagrama 5">
          <a:extLst>
            <a:ext uri="{FF2B5EF4-FFF2-40B4-BE49-F238E27FC236}">
              <a16:creationId xmlns:a16="http://schemas.microsoft.com/office/drawing/2014/main" id="{60AD65AB-7FDD-4DA6-8107-E3652A73F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  <xdr:twoCellAnchor>
    <xdr:from>
      <xdr:col>12</xdr:col>
      <xdr:colOff>108860</xdr:colOff>
      <xdr:row>22</xdr:row>
      <xdr:rowOff>81642</xdr:rowOff>
    </xdr:from>
    <xdr:to>
      <xdr:col>24</xdr:col>
      <xdr:colOff>1</xdr:colOff>
      <xdr:row>40</xdr:row>
      <xdr:rowOff>13607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5EC1CF72-196F-4B71-B6B4-9DEBA5888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0.2233</cdr:x>
      <cdr:y>0.21087</cdr:y>
    </cdr:from>
    <cdr:to>
      <cdr:x>0.72656</cdr:x>
      <cdr:y>0.33613</cdr:y>
    </cdr:to>
    <cdr:sp macro="" textlink="">
      <cdr:nvSpPr>
        <cdr:cNvPr id="2" name="Forma 1">
          <a:extLst xmlns:a="http://schemas.openxmlformats.org/drawingml/2006/main">
            <a:ext uri="{FF2B5EF4-FFF2-40B4-BE49-F238E27FC236}">
              <a16:creationId xmlns:a16="http://schemas.microsoft.com/office/drawing/2014/main" id="{769D5677-0238-442B-94FF-1E62A94BCB23}"/>
            </a:ext>
          </a:extLst>
        </cdr:cNvPr>
        <cdr:cNvSpPr/>
      </cdr:nvSpPr>
      <cdr:spPr>
        <a:xfrm xmlns:a="http://schemas.openxmlformats.org/drawingml/2006/main" rot="21381525">
          <a:off x="1245800" y="705866"/>
          <a:ext cx="2807651" cy="419282"/>
        </a:xfrm>
        <a:prstGeom xmlns:a="http://schemas.openxmlformats.org/drawingml/2006/main" prst="swooshArrow">
          <a:avLst>
            <a:gd name="adj1" fmla="val 25000"/>
            <a:gd name="adj2" fmla="val 25000"/>
          </a:avLst>
        </a:prstGeom>
        <a:solidFill xmlns:a="http://schemas.openxmlformats.org/drawingml/2006/main">
          <a:srgbClr val="1E6935"/>
        </a:solidFill>
      </cdr:spPr>
      <cdr:style>
        <a:lnRef xmlns:a="http://schemas.openxmlformats.org/drawingml/2006/main" idx="0">
          <a:schemeClr val="dk1">
            <a:hueOff val="0"/>
            <a:satOff val="0"/>
            <a:lumOff val="0"/>
            <a:alphaOff val="0"/>
          </a:schemeClr>
        </a:lnRef>
        <a:fillRef xmlns:a="http://schemas.openxmlformats.org/drawingml/2006/main" idx="1">
          <a:scrgbClr r="0" g="0" b="0"/>
        </a:fillRef>
        <a:effectRef xmlns:a="http://schemas.openxmlformats.org/drawingml/2006/main" idx="0">
          <a:schemeClr val="accent3">
            <a:tint val="55000"/>
            <a:hueOff val="0"/>
            <a:satOff val="0"/>
            <a:lumOff val="0"/>
            <a:alphaOff val="0"/>
          </a:schemeClr>
        </a:effectRef>
        <a:fontRef xmlns:a="http://schemas.openxmlformats.org/drawingml/2006/main" idx="minor">
          <a:schemeClr val="dk1">
            <a:hueOff val="0"/>
            <a:satOff val="0"/>
            <a:lumOff val="0"/>
            <a:alphaOff val="0"/>
          </a:schemeClr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 sz="1050"/>
        </a:p>
      </cdr:txBody>
    </cdr:sp>
  </cdr:relSizeAnchor>
  <cdr:relSizeAnchor xmlns:cdr="http://schemas.openxmlformats.org/drawingml/2006/chartDrawing">
    <cdr:from>
      <cdr:x>0.31363</cdr:x>
      <cdr:y>0.17778</cdr:y>
    </cdr:from>
    <cdr:to>
      <cdr:x>0.52637</cdr:x>
      <cdr:y>0.28932</cdr:y>
    </cdr:to>
    <cdr:sp macro="" textlink="">
      <cdr:nvSpPr>
        <cdr:cNvPr id="3" name="Retângulo: Cantos Diagonais Arredondados 4">
          <a:extLst xmlns:a="http://schemas.openxmlformats.org/drawingml/2006/main">
            <a:ext uri="{FF2B5EF4-FFF2-40B4-BE49-F238E27FC236}">
              <a16:creationId xmlns:a16="http://schemas.microsoft.com/office/drawing/2014/main" id="{BC0D6C50-A3DA-41FD-9C0B-13FBFC3EA906}"/>
            </a:ext>
          </a:extLst>
        </cdr:cNvPr>
        <cdr:cNvSpPr txBox="1"/>
      </cdr:nvSpPr>
      <cdr:spPr>
        <a:xfrm xmlns:a="http://schemas.openxmlformats.org/drawingml/2006/main">
          <a:off x="1749710" y="595091"/>
          <a:ext cx="1186862" cy="37336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>
            <a:hueOff val="0"/>
            <a:satOff val="0"/>
            <a:lumOff val="0"/>
            <a:alphaOff val="0"/>
          </a:schemeClr>
        </a:fontRef>
      </cdr:style>
      <cdr:txBody>
        <a:bodyPr xmlns:a="http://schemas.openxmlformats.org/drawingml/2006/main" spcFirstLastPara="0" vert="horz" wrap="square" lIns="0" tIns="0" rIns="119455" bIns="0" numCol="1" spcCol="1270" anchor="t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lvl="0" indent="0" algn="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>
              <a:solidFill>
                <a:sysClr val="windowText" lastClr="000000"/>
              </a:solidFill>
            </a:rPr>
            <a:t>23%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0.27793</cdr:x>
      <cdr:y>0.17725</cdr:y>
    </cdr:from>
    <cdr:to>
      <cdr:x>0.66762</cdr:x>
      <cdr:y>0.31346</cdr:y>
    </cdr:to>
    <cdr:sp macro="" textlink="">
      <cdr:nvSpPr>
        <cdr:cNvPr id="5" name="Forma 4">
          <a:extLst xmlns:a="http://schemas.openxmlformats.org/drawingml/2006/main">
            <a:ext uri="{FF2B5EF4-FFF2-40B4-BE49-F238E27FC236}">
              <a16:creationId xmlns:a16="http://schemas.microsoft.com/office/drawing/2014/main" id="{84124CF1-ED43-4CB9-84ED-D8D1DDCD6465}"/>
            </a:ext>
          </a:extLst>
        </cdr:cNvPr>
        <cdr:cNvSpPr/>
      </cdr:nvSpPr>
      <cdr:spPr>
        <a:xfrm xmlns:a="http://schemas.openxmlformats.org/drawingml/2006/main" rot="21540000">
          <a:off x="1603498" y="545082"/>
          <a:ext cx="2248289" cy="418874"/>
        </a:xfrm>
        <a:prstGeom xmlns:a="http://schemas.openxmlformats.org/drawingml/2006/main" prst="swooshArrow">
          <a:avLst>
            <a:gd name="adj1" fmla="val 25000"/>
            <a:gd name="adj2" fmla="val 25000"/>
          </a:avLst>
        </a:prstGeom>
        <a:solidFill xmlns:a="http://schemas.openxmlformats.org/drawingml/2006/main">
          <a:srgbClr val="1E6935"/>
        </a:solidFill>
      </cdr:spPr>
      <cdr:style>
        <a:lnRef xmlns:a="http://schemas.openxmlformats.org/drawingml/2006/main" idx="0">
          <a:schemeClr val="dk1">
            <a:hueOff val="0"/>
            <a:satOff val="0"/>
            <a:lumOff val="0"/>
            <a:alphaOff val="0"/>
          </a:schemeClr>
        </a:lnRef>
        <a:fillRef xmlns:a="http://schemas.openxmlformats.org/drawingml/2006/main" idx="1">
          <a:scrgbClr r="0" g="0" b="0"/>
        </a:fillRef>
        <a:effectRef xmlns:a="http://schemas.openxmlformats.org/drawingml/2006/main" idx="0">
          <a:schemeClr val="accent3">
            <a:tint val="55000"/>
            <a:hueOff val="0"/>
            <a:satOff val="0"/>
            <a:lumOff val="0"/>
            <a:alphaOff val="0"/>
          </a:schemeClr>
        </a:effectRef>
        <a:fontRef xmlns:a="http://schemas.openxmlformats.org/drawingml/2006/main" idx="minor">
          <a:schemeClr val="dk1">
            <a:hueOff val="0"/>
            <a:satOff val="0"/>
            <a:lumOff val="0"/>
            <a:alphaOff val="0"/>
          </a:schemeClr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0.09906</cdr:x>
      <cdr:y>0.11453</cdr:y>
    </cdr:from>
    <cdr:to>
      <cdr:x>0.45635</cdr:x>
      <cdr:y>0.27434</cdr:y>
    </cdr:to>
    <cdr:grpSp>
      <cdr:nvGrpSpPr>
        <cdr:cNvPr id="6" name="Agrupar 5">
          <a:extLst xmlns:a="http://schemas.openxmlformats.org/drawingml/2006/main">
            <a:ext uri="{FF2B5EF4-FFF2-40B4-BE49-F238E27FC236}">
              <a16:creationId xmlns:a16="http://schemas.microsoft.com/office/drawing/2014/main" id="{BFC83A05-6AD2-4A93-A4B3-DC9C6A58853A}"/>
            </a:ext>
          </a:extLst>
        </cdr:cNvPr>
        <cdr:cNvGrpSpPr/>
      </cdr:nvGrpSpPr>
      <cdr:grpSpPr>
        <a:xfrm xmlns:a="http://schemas.openxmlformats.org/drawingml/2006/main">
          <a:off x="590391" y="352204"/>
          <a:ext cx="2129423" cy="491450"/>
          <a:chOff x="1650036" y="111138"/>
          <a:chExt cx="2153661" cy="615362"/>
        </a:xfrm>
      </cdr:grpSpPr>
      <cdr:sp macro="" textlink="">
        <cdr:nvSpPr>
          <cdr:cNvPr id="7" name="Retângulo: Cantos Diagonais Arredondados 6">
            <a:extLst xmlns:a="http://schemas.openxmlformats.org/drawingml/2006/main">
              <a:ext uri="{FF2B5EF4-FFF2-40B4-BE49-F238E27FC236}">
                <a16:creationId xmlns:a16="http://schemas.microsoft.com/office/drawing/2014/main" id="{4E6188FD-AF05-4093-81C9-FD2F22C4B4B7}"/>
              </a:ext>
            </a:extLst>
          </cdr:cNvPr>
          <cdr:cNvSpPr/>
        </cdr:nvSpPr>
        <cdr:spPr>
          <a:xfrm xmlns:a="http://schemas.openxmlformats.org/drawingml/2006/main">
            <a:off x="1650036" y="312746"/>
            <a:ext cx="1218581" cy="413754"/>
          </a:xfrm>
          <a:prstGeom xmlns:a="http://schemas.openxmlformats.org/drawingml/2006/main" prst="round2DiagRect">
            <a:avLst/>
          </a:prstGeom>
        </cdr:spPr>
        <cdr:style>
          <a:lnRef xmlns:a="http://schemas.openxmlformats.org/drawingml/2006/main"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xmlns:a="http://schemas.openxmlformats.org/drawingml/2006/main"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xmlns:a="http://schemas.openxmlformats.org/drawingml/2006/main"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xmlns:a="http://schemas.openxmlformats.org/drawingml/2006/main" idx="minor">
            <a:schemeClr val="tx1">
              <a:hueOff val="0"/>
              <a:satOff val="0"/>
              <a:lumOff val="0"/>
              <a:alphaOff val="0"/>
            </a:schemeClr>
          </a:fontRef>
        </cdr:style>
      </cdr:sp>
      <cdr:sp macro="" textlink="">
        <cdr:nvSpPr>
          <cdr:cNvPr id="8" name="Retângulo: Cantos Diagonais Arredondados 4">
            <a:extLst xmlns:a="http://schemas.openxmlformats.org/drawingml/2006/main">
              <a:ext uri="{FF2B5EF4-FFF2-40B4-BE49-F238E27FC236}">
                <a16:creationId xmlns:a16="http://schemas.microsoft.com/office/drawing/2014/main" id="{D88D06D5-9DF4-4351-9B4A-BEF5D741E6B9}"/>
              </a:ext>
            </a:extLst>
          </cdr:cNvPr>
          <cdr:cNvSpPr txBox="1"/>
        </cdr:nvSpPr>
        <cdr:spPr>
          <a:xfrm xmlns:a="http://schemas.openxmlformats.org/drawingml/2006/main">
            <a:off x="2625513" y="111138"/>
            <a:ext cx="1178184" cy="373358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>
              <a:hueOff val="0"/>
              <a:satOff val="0"/>
              <a:lumOff val="0"/>
              <a:alphaOff val="0"/>
            </a:schemeClr>
          </a:fontRef>
        </cdr:style>
        <cdr:txBody>
          <a:bodyPr xmlns:a="http://schemas.openxmlformats.org/drawingml/2006/main" spcFirstLastPara="0" vert="horz" wrap="square" lIns="0" tIns="0" rIns="119455" bIns="0" numCol="1" spcCol="1270" anchor="t" anchorCtr="0">
            <a:noAutofit/>
          </a:bodyPr>
          <a:lstStyle xmlns:a="http://schemas.openxmlformats.org/drawingml/2006/main"/>
          <a:p xmlns:a="http://schemas.openxmlformats.org/drawingml/2006/main">
            <a:pPr marL="0" lvl="0" indent="0" algn="r" defTabSz="6223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pt-BR" sz="1400" b="1" kern="1200">
                <a:solidFill>
                  <a:sysClr val="windowText" lastClr="000000"/>
                </a:solidFill>
              </a:rPr>
              <a:t>26%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0.30679</cdr:x>
      <cdr:y>0.21569</cdr:y>
    </cdr:from>
    <cdr:to>
      <cdr:x>0.66183</cdr:x>
      <cdr:y>0.3439</cdr:y>
    </cdr:to>
    <cdr:sp macro="" textlink="">
      <cdr:nvSpPr>
        <cdr:cNvPr id="2" name="Forma 1">
          <a:extLst xmlns:a="http://schemas.openxmlformats.org/drawingml/2006/main">
            <a:ext uri="{FF2B5EF4-FFF2-40B4-BE49-F238E27FC236}">
              <a16:creationId xmlns:a16="http://schemas.microsoft.com/office/drawing/2014/main" id="{3F7C6439-9D09-40CF-95DC-B4FCA76A1D34}"/>
            </a:ext>
          </a:extLst>
        </cdr:cNvPr>
        <cdr:cNvSpPr/>
      </cdr:nvSpPr>
      <cdr:spPr>
        <a:xfrm xmlns:a="http://schemas.openxmlformats.org/drawingml/2006/main" rot="21600000">
          <a:off x="1920269" y="683830"/>
          <a:ext cx="2222297" cy="406485"/>
        </a:xfrm>
        <a:prstGeom xmlns:a="http://schemas.openxmlformats.org/drawingml/2006/main" prst="swooshArrow">
          <a:avLst>
            <a:gd name="adj1" fmla="val 25000"/>
            <a:gd name="adj2" fmla="val 25000"/>
          </a:avLst>
        </a:prstGeom>
        <a:solidFill xmlns:a="http://schemas.openxmlformats.org/drawingml/2006/main">
          <a:srgbClr val="1E6935"/>
        </a:solidFill>
      </cdr:spPr>
      <cdr:style>
        <a:lnRef xmlns:a="http://schemas.openxmlformats.org/drawingml/2006/main" idx="0">
          <a:schemeClr val="dk1">
            <a:hueOff val="0"/>
            <a:satOff val="0"/>
            <a:lumOff val="0"/>
            <a:alphaOff val="0"/>
          </a:schemeClr>
        </a:lnRef>
        <a:fillRef xmlns:a="http://schemas.openxmlformats.org/drawingml/2006/main" idx="1">
          <a:scrgbClr r="0" g="0" b="0"/>
        </a:fillRef>
        <a:effectRef xmlns:a="http://schemas.openxmlformats.org/drawingml/2006/main" idx="0">
          <a:schemeClr val="accent3">
            <a:tint val="55000"/>
            <a:hueOff val="0"/>
            <a:satOff val="0"/>
            <a:lumOff val="0"/>
            <a:alphaOff val="0"/>
          </a:schemeClr>
        </a:effectRef>
        <a:fontRef xmlns:a="http://schemas.openxmlformats.org/drawingml/2006/main" idx="minor">
          <a:schemeClr val="dk1">
            <a:hueOff val="0"/>
            <a:satOff val="0"/>
            <a:lumOff val="0"/>
            <a:alphaOff val="0"/>
          </a:schemeClr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0.34156</cdr:x>
      <cdr:y>0.16509</cdr:y>
    </cdr:from>
    <cdr:to>
      <cdr:x>0.52094</cdr:x>
      <cdr:y>0.26163</cdr:y>
    </cdr:to>
    <cdr:sp macro="" textlink="">
      <cdr:nvSpPr>
        <cdr:cNvPr id="3" name="Retângulo: Cantos Diagonais Arredondados 4">
          <a:extLst xmlns:a="http://schemas.openxmlformats.org/drawingml/2006/main">
            <a:ext uri="{FF2B5EF4-FFF2-40B4-BE49-F238E27FC236}">
              <a16:creationId xmlns:a16="http://schemas.microsoft.com/office/drawing/2014/main" id="{E1FA20BA-418F-4F4D-9EF8-28D3465E02AD}"/>
            </a:ext>
          </a:extLst>
        </cdr:cNvPr>
        <cdr:cNvSpPr txBox="1"/>
      </cdr:nvSpPr>
      <cdr:spPr>
        <a:xfrm xmlns:a="http://schemas.openxmlformats.org/drawingml/2006/main">
          <a:off x="2137913" y="523408"/>
          <a:ext cx="1122790" cy="306076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>
            <a:hueOff val="0"/>
            <a:satOff val="0"/>
            <a:lumOff val="0"/>
            <a:alphaOff val="0"/>
          </a:schemeClr>
        </a:fontRef>
      </cdr:style>
      <cdr:txBody>
        <a:bodyPr xmlns:a="http://schemas.openxmlformats.org/drawingml/2006/main" spcFirstLastPara="0" vert="horz" wrap="square" lIns="0" tIns="0" rIns="119455" bIns="0" numCol="1" spcCol="1270" anchor="t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>
                  <a:hueOff val="0"/>
                  <a:satOff val="0"/>
                  <a:lumOff val="0"/>
                  <a:alphaOff val="0"/>
                </a:schemeClr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lvl="0" indent="0" algn="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>
              <a:solidFill>
                <a:sysClr val="windowText" lastClr="000000"/>
              </a:solidFill>
            </a:rPr>
            <a:t>26%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149679</xdr:colOff>
      <xdr:row>21</xdr:row>
      <xdr:rowOff>149678</xdr:rowOff>
    </xdr:from>
    <xdr:to>
      <xdr:col>21</xdr:col>
      <xdr:colOff>40821</xdr:colOff>
      <xdr:row>36</xdr:row>
      <xdr:rowOff>27214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C46123-169F-4A34-BE42-41A78FE37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299358</xdr:colOff>
      <xdr:row>5</xdr:row>
      <xdr:rowOff>108857</xdr:rowOff>
    </xdr:from>
    <xdr:to>
      <xdr:col>12</xdr:col>
      <xdr:colOff>176892</xdr:colOff>
      <xdr:row>20</xdr:row>
      <xdr:rowOff>27214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6DF4105-808B-40C4-815A-7CB6E0A75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421824</xdr:colOff>
      <xdr:row>5</xdr:row>
      <xdr:rowOff>122464</xdr:rowOff>
    </xdr:from>
    <xdr:to>
      <xdr:col>21</xdr:col>
      <xdr:colOff>27215</xdr:colOff>
      <xdr:row>20</xdr:row>
      <xdr:rowOff>27213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AD545F2-19E5-4DA4-AD6D-26063405D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408214</xdr:colOff>
      <xdr:row>21</xdr:row>
      <xdr:rowOff>136071</xdr:rowOff>
    </xdr:from>
    <xdr:to>
      <xdr:col>11</xdr:col>
      <xdr:colOff>557893</xdr:colOff>
      <xdr:row>37</xdr:row>
      <xdr:rowOff>25884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564C4246-79F9-45EC-BA2B-8E9F8D788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18</xdr:col>
      <xdr:colOff>503465</xdr:colOff>
      <xdr:row>12</xdr:row>
      <xdr:rowOff>149678</xdr:rowOff>
    </xdr:from>
    <xdr:to>
      <xdr:col>19</xdr:col>
      <xdr:colOff>567418</xdr:colOff>
      <xdr:row>14</xdr:row>
      <xdr:rowOff>186417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ED1E1136-9ECA-419F-BB09-31772FFE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2390" y="2207078"/>
          <a:ext cx="673553" cy="417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304800</xdr:colOff>
      <xdr:row>1</xdr:row>
      <xdr:rowOff>129540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B329379-9B6A-40E7-AA2D-5314CB2BDB24}"/>
            </a:ext>
          </a:extLst>
        </xdr:cNvPr>
        <xdr:cNvSpPr>
          <a:spLocks noChangeAspect="1" noChangeArrowheads="1"/>
        </xdr:cNvSpPr>
      </xdr:nvSpPr>
      <xdr:spPr bwMode="auto">
        <a:xfrm>
          <a:off x="14582775" y="0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1508199</xdr:colOff>
      <xdr:row>6</xdr:row>
      <xdr:rowOff>152400</xdr:rowOff>
    </xdr:from>
    <xdr:to>
      <xdr:col>23</xdr:col>
      <xdr:colOff>479027</xdr:colOff>
      <xdr:row>23</xdr:row>
      <xdr:rowOff>49772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684B543-A5D1-4D6F-8031-69A9FE218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0974" y="1257300"/>
          <a:ext cx="4142903" cy="3059672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1524000</xdr:colOff>
      <xdr:row>23</xdr:row>
      <xdr:rowOff>144780</xdr:rowOff>
    </xdr:from>
    <xdr:to>
      <xdr:col>18</xdr:col>
      <xdr:colOff>201251</xdr:colOff>
      <xdr:row>28</xdr:row>
      <xdr:rowOff>85414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DA4E445-0151-4235-A1BF-F81C5105E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06775" y="4411980"/>
          <a:ext cx="896576" cy="845509"/>
        </a:xfrm>
        <a:prstGeom prst="rect">
          <a:avLst/>
        </a:prstGeom>
      </xdr:spPr>
    </xdr:pic>
    <xdr:clientData/>
  </xdr:twoCellAnchor>
  <xdr:twoCellAnchor editAs="oneCell">
    <xdr:from>
      <xdr:col>18</xdr:col>
      <xdr:colOff>342900</xdr:colOff>
      <xdr:row>23</xdr:row>
      <xdr:rowOff>121920</xdr:rowOff>
    </xdr:from>
    <xdr:to>
      <xdr:col>20</xdr:col>
      <xdr:colOff>123531</xdr:colOff>
      <xdr:row>29</xdr:row>
      <xdr:rowOff>137251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79C9712-94C4-41A9-BFE3-3DA03947C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00" y="4389120"/>
          <a:ext cx="961731" cy="1101181"/>
        </a:xfrm>
        <a:prstGeom prst="rect">
          <a:avLst/>
        </a:prstGeom>
      </xdr:spPr>
    </xdr:pic>
    <xdr:clientData/>
  </xdr:twoCellAnchor>
  <xdr:twoCellAnchor>
    <xdr:from>
      <xdr:col>3</xdr:col>
      <xdr:colOff>91440</xdr:colOff>
      <xdr:row>2</xdr:row>
      <xdr:rowOff>50588</xdr:rowOff>
    </xdr:from>
    <xdr:to>
      <xdr:col>16</xdr:col>
      <xdr:colOff>457200</xdr:colOff>
      <xdr:row>21</xdr:row>
      <xdr:rowOff>152400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40C0866B-F19A-4A03-B096-329316107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ndo\Desktop\repaso%201%202015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ndo\SkyDrive\Excel\Excel%20basico\contar%20sumar%20y%20promed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e\Desktop\Arquivos\Ferramentas\Gr&#225;fico%20de%20Veloc&#237;mentro\Velocimentros%20y%20Gau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s lab (2)"/>
      <sheetName val="referencias"/>
      <sheetName val="incrementos 1"/>
      <sheetName val="incrementos 2"/>
      <sheetName val="ejercicio 1"/>
      <sheetName val="ejercicio 3"/>
      <sheetName val="ejercicio 2"/>
      <sheetName val="m2 "/>
      <sheetName val="Hoja4"/>
      <sheetName val="Hoja5"/>
      <sheetName val="ej 1"/>
      <sheetName val="Hoja1"/>
      <sheetName val="Hoja12"/>
      <sheetName val="Hoja13"/>
      <sheetName val="ejemplos formulas de fecha "/>
      <sheetName val="ejercicios con fechas"/>
      <sheetName val="texto"/>
      <sheetName val="dias lab"/>
      <sheetName val="ejercicio días lab"/>
      <sheetName val="semestre"/>
      <sheetName val="años"/>
      <sheetName val="fechas"/>
      <sheetName val="Hoja2"/>
      <sheetName val="Hoja3"/>
      <sheetName val="Hoja6"/>
      <sheetName val="Hoja7"/>
      <sheetName val="Hoja8"/>
      <sheetName val="fest x mes"/>
      <sheetName val="diaslab x mes"/>
      <sheetName val="finsem "/>
      <sheetName val="concatenar"/>
      <sheetName val="Hoja9"/>
      <sheetName val="Hoja10"/>
      <sheetName val="Hoja11"/>
      <sheetName val="orden"/>
      <sheetName val="transp"/>
      <sheetName val="respuestas"/>
      <sheetName val="temas de repaso"/>
      <sheetName val="Hoja15"/>
      <sheetName val="Hoja16"/>
      <sheetName val="Hoja14"/>
      <sheetName val="Hoja17"/>
      <sheetName val="Hoja18"/>
      <sheetName val="Hoja21"/>
      <sheetName val="Hoja20"/>
      <sheetName val="Hoja19"/>
      <sheetName val="Hoja22"/>
      <sheetName val="Hoja23"/>
      <sheetName val="Hoja24"/>
      <sheetName val="Hoja25"/>
      <sheetName val="f y v"/>
      <sheetName val="OLAP"/>
      <sheetName val="listas"/>
      <sheetName val="formato dev"/>
      <sheetName val="bsc"/>
      <sheetName val="Hoja27"/>
      <sheetName val="Hoja28"/>
      <sheetName val="Hoja26"/>
      <sheetName val="Sheet1"/>
      <sheetName val="met ab e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E6" t="str">
            <v>enero</v>
          </cell>
          <cell r="F6">
            <v>1</v>
          </cell>
        </row>
        <row r="7">
          <cell r="E7" t="str">
            <v>enero</v>
          </cell>
        </row>
        <row r="8">
          <cell r="E8" t="str">
            <v>febrero</v>
          </cell>
          <cell r="F8" t="str">
            <v>armando</v>
          </cell>
        </row>
        <row r="9">
          <cell r="E9" t="str">
            <v>febrero</v>
          </cell>
          <cell r="F9">
            <v>1</v>
          </cell>
        </row>
        <row r="10">
          <cell r="E10" t="str">
            <v>febrero</v>
          </cell>
          <cell r="F10">
            <v>5</v>
          </cell>
        </row>
        <row r="11">
          <cell r="E11" t="str">
            <v>febrero</v>
          </cell>
        </row>
        <row r="12">
          <cell r="E12" t="str">
            <v>febrero</v>
          </cell>
          <cell r="F12" t="str">
            <v>rt54</v>
          </cell>
        </row>
        <row r="13">
          <cell r="E13" t="str">
            <v>febrero</v>
          </cell>
        </row>
        <row r="14">
          <cell r="E14" t="str">
            <v>febrero</v>
          </cell>
        </row>
        <row r="15">
          <cell r="E15" t="str">
            <v>febrero</v>
          </cell>
        </row>
        <row r="16">
          <cell r="E16" t="str">
            <v>marzo</v>
          </cell>
        </row>
        <row r="17">
          <cell r="E17" t="str">
            <v>marzo</v>
          </cell>
        </row>
        <row r="18">
          <cell r="E18" t="str">
            <v>marzo</v>
          </cell>
        </row>
        <row r="19">
          <cell r="E19" t="str">
            <v>marzo</v>
          </cell>
        </row>
        <row r="20">
          <cell r="E20" t="str">
            <v>marzo</v>
          </cell>
        </row>
        <row r="21">
          <cell r="E21" t="str">
            <v>marzo</v>
          </cell>
        </row>
        <row r="22">
          <cell r="E22" t="str">
            <v>marzo</v>
          </cell>
        </row>
        <row r="23">
          <cell r="E23" t="str">
            <v>marzo</v>
          </cell>
        </row>
        <row r="24">
          <cell r="E24" t="str">
            <v>marzo</v>
          </cell>
        </row>
        <row r="25">
          <cell r="E25" t="str">
            <v>abril</v>
          </cell>
        </row>
        <row r="26">
          <cell r="E26" t="str">
            <v>abril</v>
          </cell>
        </row>
        <row r="27">
          <cell r="E27" t="str">
            <v>abril</v>
          </cell>
        </row>
        <row r="28">
          <cell r="E28" t="str">
            <v>abril</v>
          </cell>
        </row>
        <row r="29">
          <cell r="E29" t="str">
            <v>abril</v>
          </cell>
        </row>
        <row r="30">
          <cell r="E30" t="str">
            <v>abril</v>
          </cell>
        </row>
        <row r="31">
          <cell r="E31" t="str">
            <v>abril</v>
          </cell>
        </row>
        <row r="32">
          <cell r="E32" t="str">
            <v>abril</v>
          </cell>
        </row>
        <row r="33">
          <cell r="E33" t="str">
            <v>abril</v>
          </cell>
        </row>
        <row r="34">
          <cell r="E34" t="str">
            <v>mayo</v>
          </cell>
        </row>
        <row r="35">
          <cell r="E35" t="str">
            <v>mayo</v>
          </cell>
        </row>
        <row r="36">
          <cell r="E36" t="str">
            <v>mayo</v>
          </cell>
        </row>
        <row r="37">
          <cell r="E37" t="str">
            <v>mayo</v>
          </cell>
        </row>
        <row r="38">
          <cell r="E38" t="str">
            <v>mayo</v>
          </cell>
        </row>
        <row r="39">
          <cell r="E39" t="str">
            <v>mayo</v>
          </cell>
        </row>
      </sheetData>
      <sheetData sheetId="24"/>
      <sheetData sheetId="25">
        <row r="4">
          <cell r="C4">
            <v>5</v>
          </cell>
        </row>
        <row r="5">
          <cell r="L5" t="str">
            <v>lunes</v>
          </cell>
        </row>
        <row r="6">
          <cell r="C6" t="str">
            <v>t</v>
          </cell>
          <cell r="L6" t="str">
            <v>viernes</v>
          </cell>
        </row>
        <row r="7">
          <cell r="L7" t="str">
            <v>lunes</v>
          </cell>
        </row>
        <row r="8">
          <cell r="C8" t="str">
            <v>armando</v>
          </cell>
          <cell r="L8" t="str">
            <v>viernes</v>
          </cell>
        </row>
        <row r="9">
          <cell r="C9">
            <v>8</v>
          </cell>
          <cell r="L9" t="str">
            <v>lunes</v>
          </cell>
        </row>
        <row r="10">
          <cell r="C10">
            <v>4</v>
          </cell>
          <cell r="L10" t="str">
            <v>viernes</v>
          </cell>
        </row>
        <row r="11">
          <cell r="L11" t="str">
            <v>lunes</v>
          </cell>
        </row>
        <row r="12">
          <cell r="C12">
            <v>1</v>
          </cell>
          <cell r="L12" t="str">
            <v>viernes</v>
          </cell>
        </row>
        <row r="13">
          <cell r="L13" t="str">
            <v>lunes</v>
          </cell>
        </row>
        <row r="14">
          <cell r="L14" t="str">
            <v>viernes</v>
          </cell>
        </row>
        <row r="15">
          <cell r="L15" t="str">
            <v>lunes</v>
          </cell>
        </row>
        <row r="16">
          <cell r="L16" t="str">
            <v>viernes</v>
          </cell>
        </row>
        <row r="17">
          <cell r="L17" t="str">
            <v>lunes</v>
          </cell>
        </row>
        <row r="18">
          <cell r="L18" t="str">
            <v>viernes</v>
          </cell>
        </row>
        <row r="19">
          <cell r="L19" t="str">
            <v>lunes</v>
          </cell>
        </row>
        <row r="20">
          <cell r="L20" t="str">
            <v>viernes</v>
          </cell>
        </row>
        <row r="21">
          <cell r="L21" t="str">
            <v>lunes</v>
          </cell>
        </row>
        <row r="22">
          <cell r="L22" t="str">
            <v>viernes</v>
          </cell>
        </row>
        <row r="23">
          <cell r="L23" t="str">
            <v>lunes</v>
          </cell>
        </row>
        <row r="24">
          <cell r="L24" t="str">
            <v>viernes</v>
          </cell>
        </row>
        <row r="25">
          <cell r="L25" t="str">
            <v>lunes</v>
          </cell>
        </row>
        <row r="26">
          <cell r="L26" t="str">
            <v>viernes</v>
          </cell>
        </row>
        <row r="27">
          <cell r="L27" t="str">
            <v>lunes</v>
          </cell>
        </row>
        <row r="28">
          <cell r="L28" t="str">
            <v>viernes</v>
          </cell>
        </row>
        <row r="29">
          <cell r="L29" t="str">
            <v>lunes</v>
          </cell>
        </row>
        <row r="30">
          <cell r="L30" t="str">
            <v>viernes</v>
          </cell>
        </row>
        <row r="31">
          <cell r="L31" t="str">
            <v>lunes</v>
          </cell>
        </row>
        <row r="32">
          <cell r="L32" t="str">
            <v>viernes</v>
          </cell>
        </row>
        <row r="33">
          <cell r="L33" t="str">
            <v>lunes</v>
          </cell>
        </row>
        <row r="34">
          <cell r="L34" t="str">
            <v>viernes</v>
          </cell>
        </row>
        <row r="35">
          <cell r="L35" t="str">
            <v>lunes</v>
          </cell>
        </row>
        <row r="36">
          <cell r="L36" t="str">
            <v>viernes</v>
          </cell>
        </row>
        <row r="37">
          <cell r="L37" t="str">
            <v>lunes</v>
          </cell>
        </row>
        <row r="38">
          <cell r="L38" t="str">
            <v>viernes</v>
          </cell>
        </row>
      </sheetData>
      <sheetData sheetId="26">
        <row r="7">
          <cell r="AO7" t="str">
            <v>enero</v>
          </cell>
          <cell r="AP7" t="str">
            <v>lunes</v>
          </cell>
        </row>
        <row r="8">
          <cell r="AO8" t="str">
            <v>enero</v>
          </cell>
          <cell r="AP8" t="str">
            <v>viernes</v>
          </cell>
        </row>
        <row r="9">
          <cell r="AO9" t="str">
            <v>febrero</v>
          </cell>
          <cell r="AP9" t="str">
            <v>lunes</v>
          </cell>
        </row>
        <row r="10">
          <cell r="AO10" t="str">
            <v>febrero</v>
          </cell>
          <cell r="AP10" t="str">
            <v>viernes</v>
          </cell>
        </row>
        <row r="11">
          <cell r="AO11" t="str">
            <v>febrero</v>
          </cell>
          <cell r="AP11" t="str">
            <v>lunes</v>
          </cell>
        </row>
        <row r="12">
          <cell r="AO12" t="str">
            <v>febrero</v>
          </cell>
          <cell r="AP12" t="str">
            <v>viernes</v>
          </cell>
        </row>
        <row r="13">
          <cell r="AO13" t="str">
            <v>febrero</v>
          </cell>
          <cell r="AP13" t="str">
            <v>lunes</v>
          </cell>
        </row>
        <row r="14">
          <cell r="AO14" t="str">
            <v>febrero</v>
          </cell>
          <cell r="AP14" t="str">
            <v>viernes</v>
          </cell>
        </row>
        <row r="15">
          <cell r="AO15" t="str">
            <v>febrero</v>
          </cell>
          <cell r="AP15" t="str">
            <v>lunes</v>
          </cell>
        </row>
        <row r="16">
          <cell r="AO16" t="str">
            <v>febrero</v>
          </cell>
          <cell r="AP16" t="str">
            <v>viernes</v>
          </cell>
        </row>
        <row r="17">
          <cell r="AO17" t="str">
            <v>marzo</v>
          </cell>
          <cell r="AP17" t="str">
            <v>lunes</v>
          </cell>
        </row>
        <row r="18">
          <cell r="AO18" t="str">
            <v>marzo</v>
          </cell>
          <cell r="AP18" t="str">
            <v>viernes</v>
          </cell>
        </row>
        <row r="19">
          <cell r="AO19" t="str">
            <v>marzo</v>
          </cell>
          <cell r="AP19" t="str">
            <v>lunes</v>
          </cell>
        </row>
        <row r="20">
          <cell r="AO20" t="str">
            <v>marzo</v>
          </cell>
          <cell r="AP20" t="str">
            <v>viernes</v>
          </cell>
        </row>
        <row r="21">
          <cell r="AO21" t="str">
            <v>marzo</v>
          </cell>
          <cell r="AP21" t="str">
            <v>lunes</v>
          </cell>
        </row>
        <row r="22">
          <cell r="AO22" t="str">
            <v>marzo</v>
          </cell>
          <cell r="AP22" t="str">
            <v>viernes</v>
          </cell>
        </row>
        <row r="23">
          <cell r="AO23" t="str">
            <v>marzo</v>
          </cell>
          <cell r="AP23" t="str">
            <v>lunes</v>
          </cell>
        </row>
        <row r="24">
          <cell r="AO24" t="str">
            <v>marzo</v>
          </cell>
          <cell r="AP24" t="str">
            <v>viernes</v>
          </cell>
        </row>
        <row r="25">
          <cell r="AO25" t="str">
            <v>marzo</v>
          </cell>
          <cell r="AP25" t="str">
            <v>lunes</v>
          </cell>
        </row>
        <row r="26">
          <cell r="AO26" t="str">
            <v>abril</v>
          </cell>
          <cell r="AP26" t="str">
            <v>viernes</v>
          </cell>
        </row>
        <row r="27">
          <cell r="AO27" t="str">
            <v>abril</v>
          </cell>
          <cell r="AP27" t="str">
            <v>lunes</v>
          </cell>
        </row>
        <row r="28">
          <cell r="AO28" t="str">
            <v>abril</v>
          </cell>
          <cell r="AP28" t="str">
            <v>viernes</v>
          </cell>
        </row>
        <row r="29">
          <cell r="AO29" t="str">
            <v>abril</v>
          </cell>
          <cell r="AP29" t="str">
            <v>lunes</v>
          </cell>
        </row>
        <row r="30">
          <cell r="AO30" t="str">
            <v>abril</v>
          </cell>
          <cell r="AP30" t="str">
            <v>viernes</v>
          </cell>
        </row>
        <row r="31">
          <cell r="AO31" t="str">
            <v>abril</v>
          </cell>
          <cell r="AP31" t="str">
            <v>lunes</v>
          </cell>
        </row>
        <row r="32">
          <cell r="AO32" t="str">
            <v>abril</v>
          </cell>
          <cell r="AP32" t="str">
            <v>viernes</v>
          </cell>
        </row>
        <row r="33">
          <cell r="AO33" t="str">
            <v>abril</v>
          </cell>
          <cell r="AP33" t="str">
            <v>lunes</v>
          </cell>
        </row>
        <row r="34">
          <cell r="AO34" t="str">
            <v>mayo</v>
          </cell>
          <cell r="AP34" t="str">
            <v>viernes</v>
          </cell>
        </row>
        <row r="35">
          <cell r="AO35" t="str">
            <v>mayo</v>
          </cell>
          <cell r="AP35" t="str">
            <v>lunes</v>
          </cell>
        </row>
        <row r="36">
          <cell r="AO36" t="str">
            <v>mayo</v>
          </cell>
          <cell r="AP36" t="str">
            <v>viernes</v>
          </cell>
        </row>
        <row r="37">
          <cell r="AO37" t="str">
            <v>mayo</v>
          </cell>
          <cell r="AP37" t="str">
            <v>lunes</v>
          </cell>
        </row>
        <row r="38">
          <cell r="AO38" t="str">
            <v>mayo</v>
          </cell>
          <cell r="AP38" t="str">
            <v>viernes</v>
          </cell>
        </row>
        <row r="39">
          <cell r="AO39" t="str">
            <v>mayo</v>
          </cell>
          <cell r="AP39" t="str">
            <v>lunes</v>
          </cell>
        </row>
        <row r="40">
          <cell r="AO40" t="str">
            <v>mayo</v>
          </cell>
          <cell r="AP40" t="str">
            <v>viernes</v>
          </cell>
        </row>
      </sheetData>
      <sheetData sheetId="27"/>
      <sheetData sheetId="28">
        <row r="26">
          <cell r="N26">
            <v>42037</v>
          </cell>
        </row>
        <row r="27">
          <cell r="N27">
            <v>42079</v>
          </cell>
        </row>
        <row r="28">
          <cell r="N28">
            <v>42093</v>
          </cell>
        </row>
        <row r="29">
          <cell r="N29">
            <v>42094</v>
          </cell>
        </row>
        <row r="30">
          <cell r="N30">
            <v>42095</v>
          </cell>
        </row>
        <row r="31">
          <cell r="N31">
            <v>42096</v>
          </cell>
        </row>
        <row r="32">
          <cell r="N32">
            <v>42097</v>
          </cell>
        </row>
        <row r="33">
          <cell r="N33">
            <v>42125</v>
          </cell>
        </row>
        <row r="34">
          <cell r="N34">
            <v>42139</v>
          </cell>
        </row>
      </sheetData>
      <sheetData sheetId="29"/>
      <sheetData sheetId="30"/>
      <sheetData sheetId="31"/>
      <sheetData sheetId="32">
        <row r="4">
          <cell r="V4" t="str">
            <v>TEXTO</v>
          </cell>
        </row>
        <row r="6">
          <cell r="V6" t="str">
            <v>ARMANDO</v>
          </cell>
        </row>
        <row r="7">
          <cell r="K7">
            <v>42037</v>
          </cell>
        </row>
        <row r="8">
          <cell r="K8">
            <v>42079</v>
          </cell>
          <cell r="V8" t="str">
            <v>REPJ990812</v>
          </cell>
        </row>
        <row r="9">
          <cell r="K9">
            <v>42093</v>
          </cell>
          <cell r="V9" t="str">
            <v>VIERNES</v>
          </cell>
        </row>
        <row r="10">
          <cell r="K10">
            <v>42094</v>
          </cell>
          <cell r="V10">
            <v>45</v>
          </cell>
        </row>
        <row r="11">
          <cell r="K11">
            <v>42095</v>
          </cell>
          <cell r="V11">
            <v>34</v>
          </cell>
        </row>
        <row r="12">
          <cell r="K12">
            <v>42096</v>
          </cell>
          <cell r="V12">
            <v>23</v>
          </cell>
        </row>
        <row r="13">
          <cell r="K13">
            <v>42097</v>
          </cell>
          <cell r="V13">
            <v>90</v>
          </cell>
        </row>
        <row r="14">
          <cell r="K14">
            <v>42125</v>
          </cell>
        </row>
        <row r="15">
          <cell r="K15">
            <v>42139</v>
          </cell>
        </row>
      </sheetData>
      <sheetData sheetId="33">
        <row r="9">
          <cell r="G9" t="str">
            <v>a</v>
          </cell>
        </row>
        <row r="10">
          <cell r="G10" t="str">
            <v>b</v>
          </cell>
        </row>
        <row r="11">
          <cell r="G11" t="str">
            <v>c</v>
          </cell>
        </row>
        <row r="13">
          <cell r="G13" t="str">
            <v>a</v>
          </cell>
        </row>
        <row r="14">
          <cell r="G14">
            <v>7</v>
          </cell>
        </row>
        <row r="15">
          <cell r="G15">
            <v>2</v>
          </cell>
        </row>
        <row r="16">
          <cell r="G16">
            <v>5</v>
          </cell>
        </row>
        <row r="17">
          <cell r="G17">
            <v>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">
          <cell r="A3">
            <v>0.1</v>
          </cell>
        </row>
      </sheetData>
      <sheetData sheetId="55"/>
      <sheetData sheetId="56"/>
      <sheetData sheetId="57">
        <row r="3">
          <cell r="B3">
            <v>0.1</v>
          </cell>
        </row>
      </sheetData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conceptos"/>
      <sheetName val="ejemplos 1"/>
      <sheetName val="ejemplos 2"/>
      <sheetName val="contar"/>
      <sheetName val="sumar si"/>
      <sheetName val="sumar si conjunto"/>
      <sheetName val="respuestas"/>
      <sheetName val="ropa"/>
      <sheetName val="Hoja1"/>
      <sheetName val="INSTRUCCIONES"/>
    </sheetNames>
    <sheetDataSet>
      <sheetData sheetId="0"/>
      <sheetData sheetId="1"/>
      <sheetData sheetId="2"/>
      <sheetData sheetId="3"/>
      <sheetData sheetId="4">
        <row r="3">
          <cell r="I3">
            <v>12</v>
          </cell>
          <cell r="J3">
            <v>12</v>
          </cell>
          <cell r="K3">
            <v>12</v>
          </cell>
          <cell r="L3">
            <v>12</v>
          </cell>
        </row>
        <row r="4">
          <cell r="I4" t="str">
            <v>Brian</v>
          </cell>
          <cell r="J4">
            <v>34</v>
          </cell>
          <cell r="K4" t="str">
            <v>George</v>
          </cell>
          <cell r="L4">
            <v>11</v>
          </cell>
        </row>
        <row r="5">
          <cell r="I5">
            <v>11</v>
          </cell>
          <cell r="J5" t="str">
            <v>Esteban</v>
          </cell>
          <cell r="K5">
            <v>11</v>
          </cell>
          <cell r="L5">
            <v>11</v>
          </cell>
        </row>
        <row r="6">
          <cell r="I6">
            <v>45</v>
          </cell>
          <cell r="J6">
            <v>45</v>
          </cell>
          <cell r="K6">
            <v>56</v>
          </cell>
          <cell r="L6">
            <v>56</v>
          </cell>
        </row>
        <row r="7">
          <cell r="I7">
            <v>56</v>
          </cell>
          <cell r="J7" t="str">
            <v>Tomás</v>
          </cell>
          <cell r="K7">
            <v>56</v>
          </cell>
          <cell r="L7" t="str">
            <v>Jane</v>
          </cell>
        </row>
        <row r="8">
          <cell r="I8">
            <v>56</v>
          </cell>
          <cell r="J8">
            <v>56</v>
          </cell>
          <cell r="K8">
            <v>56</v>
          </cell>
          <cell r="L8" t="str">
            <v>Mohamed</v>
          </cell>
        </row>
        <row r="9">
          <cell r="I9">
            <v>56</v>
          </cell>
          <cell r="J9" t="str">
            <v>Jaime</v>
          </cell>
          <cell r="K9">
            <v>57</v>
          </cell>
          <cell r="L9">
            <v>57</v>
          </cell>
        </row>
        <row r="10">
          <cell r="I10" t="str">
            <v>Andrés</v>
          </cell>
          <cell r="J10">
            <v>57</v>
          </cell>
          <cell r="K10" t="str">
            <v>Lety</v>
          </cell>
          <cell r="L10">
            <v>34</v>
          </cell>
        </row>
      </sheetData>
      <sheetData sheetId="5"/>
      <sheetData sheetId="6">
        <row r="5">
          <cell r="A5" t="str">
            <v>enero</v>
          </cell>
          <cell r="B5" t="str">
            <v>plástico</v>
          </cell>
          <cell r="C5">
            <v>500</v>
          </cell>
        </row>
        <row r="6">
          <cell r="A6" t="str">
            <v>enero</v>
          </cell>
          <cell r="B6" t="str">
            <v>gancho</v>
          </cell>
          <cell r="C6">
            <v>600</v>
          </cell>
        </row>
        <row r="7">
          <cell r="A7" t="str">
            <v>enero</v>
          </cell>
          <cell r="B7" t="str">
            <v>plástico</v>
          </cell>
          <cell r="C7">
            <v>1000</v>
          </cell>
        </row>
        <row r="8">
          <cell r="A8" t="str">
            <v>enero</v>
          </cell>
          <cell r="B8" t="str">
            <v>otros</v>
          </cell>
          <cell r="C8">
            <v>700</v>
          </cell>
        </row>
        <row r="9">
          <cell r="A9" t="str">
            <v>febrero</v>
          </cell>
          <cell r="B9" t="str">
            <v>plástico</v>
          </cell>
          <cell r="C9">
            <v>700</v>
          </cell>
        </row>
        <row r="10">
          <cell r="A10" t="str">
            <v>febrero</v>
          </cell>
          <cell r="B10" t="str">
            <v>gancho</v>
          </cell>
          <cell r="C10">
            <v>500</v>
          </cell>
        </row>
        <row r="11">
          <cell r="A11" t="str">
            <v>febrero</v>
          </cell>
          <cell r="B11" t="str">
            <v>cartón</v>
          </cell>
          <cell r="C11">
            <v>600</v>
          </cell>
        </row>
        <row r="12">
          <cell r="A12" t="str">
            <v>febrero</v>
          </cell>
          <cell r="B12" t="str">
            <v>gancho</v>
          </cell>
          <cell r="C12">
            <v>700</v>
          </cell>
        </row>
        <row r="13">
          <cell r="A13" t="str">
            <v>marzo</v>
          </cell>
          <cell r="B13" t="str">
            <v>plástico</v>
          </cell>
          <cell r="C13">
            <v>700</v>
          </cell>
        </row>
        <row r="14">
          <cell r="A14" t="str">
            <v>marzo</v>
          </cell>
          <cell r="B14" t="str">
            <v>gancho</v>
          </cell>
          <cell r="C14">
            <v>500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ocimetros "/>
      <sheetName val="Velocimetros con imagenes 1"/>
      <sheetName val="Velocimetros con imagenes 2"/>
      <sheetName val="Velocimetros con imagenes 3"/>
      <sheetName val="Termo 1"/>
      <sheetName val="Excel_Gauge1"/>
      <sheetName val="Excel_Gauge2"/>
      <sheetName val="Excel_Gauge3"/>
      <sheetName val="Excel_Gauge4"/>
      <sheetName val="Excel_Gauge5"/>
      <sheetName val="Excel_Gauge6"/>
      <sheetName val="Enlazado a Celdas"/>
      <sheetName val="0 Fuentes"/>
    </sheetNames>
    <sheetDataSet>
      <sheetData sheetId="0">
        <row r="32">
          <cell r="AK32">
            <v>2.5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B4C12-5E0A-4F6E-BC3D-4C29F673DEEC}">
  <sheetPr>
    <tabColor rgb="FF92D050"/>
  </sheetPr>
  <dimension ref="A2:M14"/>
  <sheetViews>
    <sheetView showGridLines="0" zoomScale="130" zoomScaleNormal="130" workbookViewId="0">
      <selection activeCell="F8" sqref="F8"/>
    </sheetView>
  </sheetViews>
  <sheetFormatPr defaultRowHeight="15"/>
  <cols>
    <col min="1" max="1" width="38" bestFit="1" customWidth="1"/>
    <col min="2" max="5" width="9.42578125" bestFit="1" customWidth="1"/>
    <col min="6" max="6" width="9.42578125" customWidth="1"/>
    <col min="7" max="7" width="1.5703125" bestFit="1" customWidth="1"/>
    <col min="8" max="8" width="9.42578125" customWidth="1"/>
    <col min="9" max="9" width="1.5703125" bestFit="1" customWidth="1"/>
    <col min="10" max="13" width="8.42578125" bestFit="1" customWidth="1"/>
  </cols>
  <sheetData>
    <row r="2" spans="1:13" s="120" customFormat="1">
      <c r="B2" s="141" t="s">
        <v>186</v>
      </c>
      <c r="C2" s="141"/>
      <c r="D2" s="141"/>
      <c r="E2" s="141"/>
      <c r="F2" s="141"/>
      <c r="G2" s="131"/>
      <c r="H2" s="133" t="s">
        <v>189</v>
      </c>
      <c r="I2" s="131"/>
      <c r="J2" s="138" t="s">
        <v>187</v>
      </c>
      <c r="K2" s="139"/>
      <c r="L2" s="139"/>
      <c r="M2" s="140"/>
    </row>
    <row r="3" spans="1:13">
      <c r="B3" s="121" t="s">
        <v>1</v>
      </c>
      <c r="C3" s="122" t="s">
        <v>30</v>
      </c>
      <c r="D3" s="122" t="s">
        <v>31</v>
      </c>
      <c r="E3" s="123" t="s">
        <v>36</v>
      </c>
      <c r="F3" s="123" t="s">
        <v>180</v>
      </c>
      <c r="H3" s="134" t="s">
        <v>36</v>
      </c>
      <c r="J3" s="121" t="s">
        <v>180</v>
      </c>
      <c r="K3" s="122" t="s">
        <v>181</v>
      </c>
      <c r="L3" s="122" t="s">
        <v>182</v>
      </c>
      <c r="M3" s="123" t="s">
        <v>183</v>
      </c>
    </row>
    <row r="4" spans="1:13" ht="3" customHeight="1"/>
    <row r="5" spans="1:13">
      <c r="A5" s="124" t="s">
        <v>85</v>
      </c>
      <c r="B5" s="125">
        <v>90935</v>
      </c>
      <c r="C5" s="125">
        <v>74822</v>
      </c>
      <c r="D5" s="125">
        <v>78435</v>
      </c>
      <c r="E5" s="125">
        <v>47937</v>
      </c>
      <c r="F5" s="125">
        <f>'3 Passivos'!C36</f>
        <v>52707</v>
      </c>
      <c r="G5" s="129"/>
      <c r="H5" s="125">
        <f>E5+17604</f>
        <v>65541</v>
      </c>
      <c r="I5" s="129"/>
      <c r="J5" s="126">
        <v>49200</v>
      </c>
      <c r="K5" s="127">
        <f>56435-4000</f>
        <v>52435</v>
      </c>
      <c r="L5" s="127">
        <v>72127</v>
      </c>
      <c r="M5" s="127">
        <f>97871-35000</f>
        <v>62871</v>
      </c>
    </row>
    <row r="6" spans="1:13">
      <c r="A6" s="124" t="s">
        <v>184</v>
      </c>
      <c r="B6" s="125">
        <f>B14</f>
        <v>58008</v>
      </c>
      <c r="C6" s="125">
        <f t="shared" ref="C6:E6" si="0">C14</f>
        <v>63937</v>
      </c>
      <c r="D6" s="125">
        <f t="shared" si="0"/>
        <v>44330</v>
      </c>
      <c r="E6" s="125">
        <f t="shared" si="0"/>
        <v>65519</v>
      </c>
      <c r="F6" s="125">
        <f t="shared" ref="F6" si="1">F14</f>
        <v>80273</v>
      </c>
      <c r="G6" s="129"/>
      <c r="H6" s="125">
        <f>E6</f>
        <v>65519</v>
      </c>
      <c r="I6" s="129"/>
      <c r="J6" s="126">
        <v>81689</v>
      </c>
      <c r="K6" s="126">
        <v>73224</v>
      </c>
      <c r="L6" s="126">
        <v>92512</v>
      </c>
      <c r="M6" s="126">
        <v>43061</v>
      </c>
    </row>
    <row r="7" spans="1:13">
      <c r="A7" s="124" t="s">
        <v>185</v>
      </c>
      <c r="B7" s="128">
        <f>B6/B5</f>
        <v>0.63790619673393079</v>
      </c>
      <c r="C7" s="128">
        <f t="shared" ref="C7:J7" si="2">C6/C5</f>
        <v>0.85452139744994793</v>
      </c>
      <c r="D7" s="128">
        <f t="shared" si="2"/>
        <v>0.56518136036208322</v>
      </c>
      <c r="E7" s="128">
        <f t="shared" si="2"/>
        <v>1.3667730563030644</v>
      </c>
      <c r="F7" s="128">
        <f t="shared" ref="F7" si="3">F6/F5</f>
        <v>1.5230045345020586</v>
      </c>
      <c r="G7" s="129"/>
      <c r="H7" s="135">
        <f t="shared" ref="H7" si="4">H6/H5</f>
        <v>0.99966433225004192</v>
      </c>
      <c r="I7" s="129"/>
      <c r="J7" s="130">
        <f t="shared" si="2"/>
        <v>1.6603455284552846</v>
      </c>
      <c r="K7" s="128">
        <f t="shared" ref="K7" si="5">K6/K5</f>
        <v>1.3964718222561265</v>
      </c>
      <c r="L7" s="128">
        <f t="shared" ref="L7" si="6">L6/L5</f>
        <v>1.2826264782952292</v>
      </c>
      <c r="M7" s="128">
        <f t="shared" ref="M7" si="7">M6/M5</f>
        <v>0.68491037203162031</v>
      </c>
    </row>
    <row r="8" spans="1:13" ht="7.5" customHeight="1"/>
    <row r="9" spans="1:13">
      <c r="A9" s="124" t="s">
        <v>188</v>
      </c>
      <c r="B9" s="130">
        <v>4.3513999999999999</v>
      </c>
      <c r="C9" s="130">
        <v>4.0297000000000001</v>
      </c>
      <c r="D9" s="130">
        <v>5.0259999999999998</v>
      </c>
      <c r="E9" s="130">
        <v>8.6844000000000001</v>
      </c>
      <c r="F9" s="130">
        <v>11.97</v>
      </c>
      <c r="H9" s="132"/>
      <c r="J9" s="130"/>
      <c r="K9" s="124"/>
      <c r="L9" s="124"/>
      <c r="M9" s="124"/>
    </row>
    <row r="12" spans="1:13">
      <c r="B12" s="117">
        <v>108866</v>
      </c>
      <c r="C12" s="117">
        <v>118175</v>
      </c>
      <c r="D12" s="117">
        <v>117748</v>
      </c>
      <c r="E12" s="117">
        <v>140429</v>
      </c>
      <c r="F12" s="117">
        <v>140573</v>
      </c>
      <c r="H12" s="117"/>
    </row>
    <row r="13" spans="1:13">
      <c r="B13" s="117">
        <v>50858</v>
      </c>
      <c r="C13" s="117">
        <v>54238</v>
      </c>
      <c r="D13" s="117">
        <v>73418</v>
      </c>
      <c r="E13" s="117">
        <v>74910</v>
      </c>
      <c r="F13" s="117">
        <v>60300</v>
      </c>
      <c r="H13" s="117"/>
      <c r="K13" s="118"/>
      <c r="L13" s="118"/>
      <c r="M13" s="118"/>
    </row>
    <row r="14" spans="1:13">
      <c r="B14" s="117">
        <f>B12-B13</f>
        <v>58008</v>
      </c>
      <c r="C14" s="117">
        <f t="shared" ref="C14:F14" si="8">C12-C13</f>
        <v>63937</v>
      </c>
      <c r="D14" s="117">
        <f t="shared" si="8"/>
        <v>44330</v>
      </c>
      <c r="E14" s="117">
        <f t="shared" si="8"/>
        <v>65519</v>
      </c>
      <c r="F14" s="117">
        <f t="shared" si="8"/>
        <v>80273</v>
      </c>
      <c r="H14" s="117"/>
      <c r="K14" s="119"/>
      <c r="L14" s="119"/>
      <c r="M14" s="119"/>
    </row>
  </sheetData>
  <mergeCells count="2">
    <mergeCell ref="J2:M2"/>
    <mergeCell ref="B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0649-486F-4A46-8E8D-E152E1C3BC19}">
  <sheetPr>
    <tabColor rgb="FFFFFF00"/>
  </sheetPr>
  <dimension ref="H4:AD53"/>
  <sheetViews>
    <sheetView showGridLines="0" topLeftCell="B1" zoomScale="70" zoomScaleNormal="70" zoomScaleSheetLayoutView="80" workbookViewId="0">
      <selection activeCell="A6" sqref="A6"/>
    </sheetView>
  </sheetViews>
  <sheetFormatPr defaultRowHeight="15"/>
  <cols>
    <col min="1" max="1" width="11.42578125" customWidth="1"/>
    <col min="2" max="2" width="3" customWidth="1"/>
    <col min="3" max="3" width="5.140625" customWidth="1"/>
    <col min="4" max="4" width="3.28515625" customWidth="1"/>
    <col min="8" max="8" width="12" bestFit="1" customWidth="1"/>
    <col min="13" max="13" width="9.140625" customWidth="1"/>
    <col min="22" max="22" width="1.140625" customWidth="1"/>
    <col min="23" max="23" width="2.42578125" customWidth="1"/>
    <col min="25" max="25" width="12" style="84" bestFit="1" customWidth="1"/>
    <col min="26" max="26" width="10" style="84" customWidth="1"/>
    <col min="27" max="27" width="9.7109375" style="84" customWidth="1"/>
    <col min="28" max="29" width="9.140625" style="84"/>
  </cols>
  <sheetData>
    <row r="4" spans="20:30" ht="6.75" customHeight="1"/>
    <row r="5" spans="20:30" ht="5.25" customHeight="1">
      <c r="AC5" s="143"/>
      <c r="AD5" s="105"/>
    </row>
    <row r="6" spans="20:30">
      <c r="AC6" s="143"/>
      <c r="AD6" s="105"/>
    </row>
    <row r="7" spans="20:30">
      <c r="AC7" s="143"/>
      <c r="AD7" s="105"/>
    </row>
    <row r="12" spans="20:30">
      <c r="T12" s="144"/>
      <c r="AA12" s="145"/>
    </row>
    <row r="13" spans="20:30">
      <c r="T13" s="144"/>
      <c r="Y13" s="146"/>
      <c r="AA13" s="145"/>
    </row>
    <row r="14" spans="20:30">
      <c r="T14" s="144"/>
      <c r="Y14" s="146"/>
      <c r="AA14" s="145"/>
    </row>
    <row r="15" spans="20:30">
      <c r="Y15" s="146"/>
    </row>
    <row r="17" spans="27:28">
      <c r="AB17" s="87"/>
    </row>
    <row r="18" spans="27:28">
      <c r="AB18" s="87"/>
    </row>
    <row r="19" spans="27:28" ht="15" customHeight="1">
      <c r="AB19" s="87"/>
    </row>
    <row r="20" spans="27:28" ht="15" customHeight="1">
      <c r="AB20" s="87"/>
    </row>
    <row r="25" spans="27:28">
      <c r="AA25" s="87">
        <v>159057</v>
      </c>
    </row>
    <row r="26" spans="27:28">
      <c r="AA26" s="87">
        <v>129314</v>
      </c>
    </row>
    <row r="27" spans="27:28">
      <c r="AA27" s="87">
        <f>AA25-AA26</f>
        <v>29743</v>
      </c>
    </row>
    <row r="28" spans="27:28">
      <c r="AA28" s="147">
        <f>AA27/AA26</f>
        <v>0.23000603182950027</v>
      </c>
    </row>
    <row r="29" spans="27:28">
      <c r="AA29" s="147"/>
    </row>
    <row r="30" spans="27:28">
      <c r="AA30" s="147"/>
    </row>
    <row r="33" spans="26:27">
      <c r="Z33" s="84">
        <v>1209</v>
      </c>
      <c r="AA33" s="84">
        <v>2712</v>
      </c>
    </row>
    <row r="34" spans="26:27">
      <c r="Z34" s="84">
        <v>1528</v>
      </c>
      <c r="AA34" s="84">
        <v>1624</v>
      </c>
    </row>
    <row r="35" spans="26:27">
      <c r="Z35" s="84">
        <f>Z34-Z33</f>
        <v>319</v>
      </c>
      <c r="AA35" s="84">
        <f>AA33-AA34</f>
        <v>1088</v>
      </c>
    </row>
    <row r="36" spans="26:27">
      <c r="Z36" s="86">
        <f>Z35/Z33</f>
        <v>0.26385442514474772</v>
      </c>
      <c r="AA36" s="86">
        <f>AA35/AA33</f>
        <v>0.40117994100294985</v>
      </c>
    </row>
    <row r="37" spans="26:27" ht="7.5" customHeight="1"/>
    <row r="38" spans="26:27" ht="7.5" customHeight="1"/>
    <row r="41" spans="26:27" ht="22.5" customHeight="1"/>
    <row r="42" spans="26:27">
      <c r="Z42" s="142"/>
    </row>
    <row r="43" spans="26:27" ht="10.5" customHeight="1">
      <c r="Z43" s="142"/>
    </row>
    <row r="44" spans="26:27" ht="6" customHeight="1">
      <c r="Z44" s="142"/>
    </row>
    <row r="49" spans="8:8">
      <c r="H49" s="83"/>
    </row>
    <row r="50" spans="8:8">
      <c r="H50" s="83"/>
    </row>
    <row r="52" spans="8:8">
      <c r="H52" s="83"/>
    </row>
    <row r="53" spans="8:8">
      <c r="H53" s="85"/>
    </row>
  </sheetData>
  <mergeCells count="6">
    <mergeCell ref="Z42:Z44"/>
    <mergeCell ref="AC5:AC7"/>
    <mergeCell ref="T12:T14"/>
    <mergeCell ref="AA12:AA14"/>
    <mergeCell ref="Y13:Y15"/>
    <mergeCell ref="AA28:AA30"/>
  </mergeCells>
  <pageMargins left="0.511811024" right="0.511811024" top="0.78740157499999996" bottom="0.78740157499999996" header="0.31496062000000002" footer="0.31496062000000002"/>
  <pageSetup paperSize="9" scale="3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5232-6A74-47CC-A25B-60CBFBE3F5BB}">
  <sheetPr>
    <tabColor rgb="FFFFFF00"/>
  </sheetPr>
  <dimension ref="T4:AD44"/>
  <sheetViews>
    <sheetView showGridLines="0" topLeftCell="B1" zoomScale="70" zoomScaleNormal="70" zoomScaleSheetLayoutView="80" workbookViewId="0">
      <selection activeCell="AA23" sqref="AA23"/>
    </sheetView>
  </sheetViews>
  <sheetFormatPr defaultRowHeight="15"/>
  <cols>
    <col min="1" max="1" width="11.42578125" customWidth="1"/>
    <col min="2" max="2" width="3" customWidth="1"/>
    <col min="3" max="3" width="5.140625" customWidth="1"/>
    <col min="22" max="22" width="1.140625" customWidth="1"/>
    <col min="23" max="23" width="2.42578125" customWidth="1"/>
    <col min="26" max="26" width="10" customWidth="1"/>
    <col min="27" max="27" width="9.7109375" customWidth="1"/>
  </cols>
  <sheetData>
    <row r="4" spans="20:30" ht="6.75" customHeight="1"/>
    <row r="5" spans="20:30" ht="5.25" customHeight="1">
      <c r="AD5" s="105"/>
    </row>
    <row r="6" spans="20:30">
      <c r="AD6" s="105"/>
    </row>
    <row r="7" spans="20:30">
      <c r="AD7" s="105"/>
    </row>
    <row r="12" spans="20:30" ht="15" customHeight="1">
      <c r="T12" s="148">
        <v>16915</v>
      </c>
    </row>
    <row r="13" spans="20:30" ht="15" customHeight="1">
      <c r="T13" s="148"/>
    </row>
    <row r="14" spans="20:30" ht="15" customHeight="1">
      <c r="T14" s="148"/>
    </row>
    <row r="19" ht="15" customHeight="1"/>
    <row r="20" ht="15" customHeight="1"/>
    <row r="27" ht="15" customHeight="1"/>
    <row r="28" ht="15" customHeight="1"/>
    <row r="29" ht="15" customHeight="1"/>
    <row r="37" spans="26:26" ht="7.5" customHeight="1"/>
    <row r="38" spans="26:26" ht="7.5" customHeight="1"/>
    <row r="41" spans="26:26" ht="22.5" customHeight="1"/>
    <row r="42" spans="26:26">
      <c r="Z42" s="149">
        <v>48027</v>
      </c>
    </row>
    <row r="43" spans="26:26" ht="10.5" customHeight="1">
      <c r="Z43" s="149"/>
    </row>
    <row r="44" spans="26:26" ht="6" customHeight="1">
      <c r="Z44" s="149"/>
    </row>
  </sheetData>
  <mergeCells count="2">
    <mergeCell ref="T12:T14"/>
    <mergeCell ref="Z42:Z44"/>
  </mergeCells>
  <pageMargins left="0.511811024" right="0.511811024" top="0.78740157499999996" bottom="0.78740157499999996" header="0.31496062000000002" footer="0.31496062000000002"/>
  <pageSetup paperSize="9" scale="4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4F552-7BF0-44C7-A402-690760E2AB83}">
  <sheetPr>
    <tabColor rgb="FFFFFF00"/>
  </sheetPr>
  <dimension ref="A1:V16"/>
  <sheetViews>
    <sheetView showGridLines="0" zoomScale="80" zoomScaleNormal="80" workbookViewId="0">
      <selection sqref="A1:J6"/>
    </sheetView>
  </sheetViews>
  <sheetFormatPr defaultColWidth="8.85546875" defaultRowHeight="14.25"/>
  <cols>
    <col min="1" max="1" width="23.5703125" style="97" bestFit="1" customWidth="1"/>
    <col min="2" max="2" width="31.7109375" style="97" bestFit="1" customWidth="1"/>
    <col min="3" max="3" width="43.140625" style="97" customWidth="1"/>
    <col min="4" max="4" width="14" style="103" bestFit="1" customWidth="1"/>
    <col min="5" max="16" width="8.85546875" style="103"/>
    <col min="17" max="17" width="24.42578125" style="103" bestFit="1" customWidth="1"/>
    <col min="18" max="18" width="8.85546875" style="97" customWidth="1"/>
    <col min="19" max="16384" width="8.85546875" style="97"/>
  </cols>
  <sheetData>
    <row r="1" spans="1:22">
      <c r="A1" s="95"/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T1" s="95"/>
      <c r="U1" s="95"/>
      <c r="V1" s="95"/>
    </row>
    <row r="2" spans="1:22">
      <c r="A2" s="95"/>
      <c r="B2" s="95"/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5"/>
      <c r="S2" s="95"/>
      <c r="T2" s="95"/>
      <c r="U2" s="95"/>
      <c r="V2" s="95"/>
    </row>
    <row r="3" spans="1:22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5"/>
      <c r="S3" s="95"/>
      <c r="T3" s="95"/>
      <c r="U3" s="95"/>
      <c r="V3" s="95"/>
    </row>
    <row r="4" spans="1:22">
      <c r="A4" s="98"/>
      <c r="B4" s="109" t="s">
        <v>166</v>
      </c>
      <c r="C4" s="100" t="s">
        <v>171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5"/>
      <c r="S4" s="95"/>
      <c r="T4" s="95"/>
      <c r="U4" s="95"/>
      <c r="V4" s="95"/>
    </row>
    <row r="5" spans="1:22" ht="15">
      <c r="A5" s="100" t="s">
        <v>20</v>
      </c>
      <c r="B5" s="101">
        <v>1657</v>
      </c>
      <c r="C5" s="102">
        <v>3.9680068967168754E-2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5"/>
      <c r="S5" s="95"/>
      <c r="T5" s="95"/>
      <c r="U5" s="95"/>
      <c r="V5" s="95"/>
    </row>
    <row r="6" spans="1:22" ht="15">
      <c r="A6" s="100" t="s">
        <v>19</v>
      </c>
      <c r="B6" s="101">
        <v>3561</v>
      </c>
      <c r="C6" s="102">
        <v>8.7962848603117358E-2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5"/>
      <c r="S6" s="95"/>
      <c r="T6" s="95"/>
      <c r="U6" s="95"/>
      <c r="V6" s="95"/>
    </row>
    <row r="7" spans="1:22" ht="15">
      <c r="A7" s="100" t="s">
        <v>18</v>
      </c>
      <c r="B7" s="101">
        <v>2464</v>
      </c>
      <c r="C7" s="102">
        <v>5.5997454661151767E-2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R7" s="95"/>
      <c r="S7" s="95"/>
      <c r="T7" s="95"/>
      <c r="U7" s="95"/>
      <c r="V7" s="95"/>
    </row>
    <row r="8" spans="1:22" ht="15">
      <c r="A8" s="100" t="s">
        <v>17</v>
      </c>
      <c r="B8" s="101">
        <v>1487</v>
      </c>
      <c r="C8" s="102">
        <v>2.1945424224088312E-2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R8" s="95"/>
      <c r="S8" s="104"/>
      <c r="T8" s="95"/>
      <c r="U8" s="95"/>
      <c r="V8" s="95"/>
    </row>
    <row r="9" spans="1:22" ht="15">
      <c r="A9" s="100" t="s">
        <v>15</v>
      </c>
      <c r="B9" s="106">
        <v>4288</v>
      </c>
      <c r="C9" s="108">
        <v>0.107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S9" s="95"/>
      <c r="T9" s="95"/>
      <c r="U9" s="95"/>
      <c r="V9" s="95"/>
    </row>
    <row r="10" spans="1:22" ht="15">
      <c r="A10" s="100" t="s">
        <v>14</v>
      </c>
      <c r="B10" s="106">
        <v>3451</v>
      </c>
      <c r="C10" s="108">
        <v>5.6173191177667454E-2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S10" s="95"/>
      <c r="T10" s="95"/>
      <c r="U10" s="95"/>
      <c r="V10" s="95"/>
    </row>
    <row r="11" spans="1:22" ht="15">
      <c r="A11" s="100" t="s">
        <v>13</v>
      </c>
      <c r="B11" s="106">
        <v>4472.1395899999998</v>
      </c>
      <c r="C11" s="108">
        <v>4.8000000000000001E-2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S11" s="95"/>
      <c r="T11" s="95"/>
      <c r="U11" s="95"/>
      <c r="V11" s="95"/>
    </row>
    <row r="12" spans="1:22" ht="15">
      <c r="A12" s="100" t="s">
        <v>12</v>
      </c>
      <c r="B12" s="106">
        <v>7314</v>
      </c>
      <c r="C12" s="108">
        <v>8.3633958671512618E-2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S12" s="95"/>
      <c r="T12" s="95"/>
      <c r="U12" s="95"/>
      <c r="V12" s="95"/>
    </row>
    <row r="13" spans="1:22" ht="15">
      <c r="A13" s="100" t="s">
        <v>1</v>
      </c>
      <c r="B13" s="106">
        <v>4861</v>
      </c>
      <c r="C13" s="108">
        <v>7.5543518027928913E-2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S13" s="95"/>
      <c r="T13" s="95"/>
      <c r="U13" s="95"/>
      <c r="V13" s="95"/>
    </row>
    <row r="14" spans="1:22" ht="15">
      <c r="A14" s="100" t="s">
        <v>30</v>
      </c>
      <c r="B14" s="106">
        <v>3057</v>
      </c>
      <c r="C14" s="108">
        <v>5.2668292240629869E-2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S14" s="95"/>
      <c r="T14" s="95"/>
      <c r="U14" s="95"/>
      <c r="V14" s="95"/>
    </row>
    <row r="15" spans="1:22" ht="15">
      <c r="A15" s="100" t="s">
        <v>31</v>
      </c>
      <c r="B15" s="106">
        <v>4299</v>
      </c>
      <c r="C15" s="108">
        <v>6.2338679272642902E-2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S15" s="95"/>
      <c r="T15" s="95"/>
      <c r="U15" s="95"/>
      <c r="V15" s="95"/>
    </row>
    <row r="16" spans="1:22">
      <c r="A16" s="95"/>
      <c r="B16" s="95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S16" s="95"/>
      <c r="T16" s="95"/>
      <c r="U16" s="95"/>
      <c r="V16" s="9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C1D2-534D-4637-9B6B-C73AB4BB337F}">
  <sheetPr>
    <tabColor rgb="FFFFFF00"/>
  </sheetPr>
  <dimension ref="A1:V31"/>
  <sheetViews>
    <sheetView showGridLines="0" topLeftCell="B1" workbookViewId="0">
      <selection sqref="A1:J6"/>
    </sheetView>
  </sheetViews>
  <sheetFormatPr defaultColWidth="8.85546875" defaultRowHeight="14.25"/>
  <cols>
    <col min="1" max="1" width="23.5703125" style="97" bestFit="1" customWidth="1"/>
    <col min="2" max="2" width="31.7109375" style="97" bestFit="1" customWidth="1"/>
    <col min="3" max="3" width="20.28515625" style="97" bestFit="1" customWidth="1"/>
    <col min="4" max="4" width="14" style="103" bestFit="1" customWidth="1"/>
    <col min="5" max="16" width="8.85546875" style="103"/>
    <col min="17" max="17" width="24.42578125" style="103" bestFit="1" customWidth="1"/>
    <col min="18" max="18" width="8.85546875" style="97" customWidth="1"/>
    <col min="19" max="16384" width="8.85546875" style="97"/>
  </cols>
  <sheetData>
    <row r="1" spans="1:22">
      <c r="A1" s="95"/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T1" s="95"/>
      <c r="U1" s="95"/>
      <c r="V1" s="95"/>
    </row>
    <row r="2" spans="1:22">
      <c r="A2" s="95"/>
      <c r="B2" s="95"/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5"/>
      <c r="S2" s="95"/>
      <c r="T2" s="95"/>
      <c r="U2" s="95"/>
      <c r="V2" s="95"/>
    </row>
    <row r="3" spans="1:22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5"/>
      <c r="S3" s="95"/>
      <c r="T3" s="95"/>
      <c r="U3" s="95"/>
      <c r="V3" s="95"/>
    </row>
    <row r="4" spans="1:22">
      <c r="A4" s="98"/>
      <c r="B4" s="109" t="s">
        <v>172</v>
      </c>
      <c r="C4" s="100" t="s">
        <v>171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5"/>
      <c r="S4" s="95"/>
      <c r="T4" s="95"/>
      <c r="U4" s="95"/>
      <c r="V4" s="95"/>
    </row>
    <row r="5" spans="1:22" ht="15">
      <c r="A5" s="100" t="s">
        <v>20</v>
      </c>
      <c r="B5" s="101">
        <v>1259</v>
      </c>
      <c r="C5" s="102">
        <v>3.0149189396297803E-2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5"/>
      <c r="S5" s="95"/>
      <c r="T5" s="95"/>
      <c r="U5" s="95"/>
      <c r="V5" s="95"/>
    </row>
    <row r="6" spans="1:22" ht="15">
      <c r="A6" s="100" t="s">
        <v>19</v>
      </c>
      <c r="B6" s="101">
        <v>1860</v>
      </c>
      <c r="C6" s="102">
        <v>4.594521157028876E-2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5"/>
      <c r="S6" s="95"/>
      <c r="T6" s="95"/>
      <c r="U6" s="95"/>
      <c r="V6" s="95"/>
    </row>
    <row r="7" spans="1:22" ht="15">
      <c r="A7" s="100" t="s">
        <v>18</v>
      </c>
      <c r="B7" s="101">
        <v>2163</v>
      </c>
      <c r="C7" s="102">
        <v>4.9156856506522434E-2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R7" s="95"/>
      <c r="S7" s="95"/>
      <c r="T7" s="95"/>
      <c r="U7" s="95"/>
      <c r="V7" s="95"/>
    </row>
    <row r="8" spans="1:22" ht="15">
      <c r="A8" s="100" t="s">
        <v>17</v>
      </c>
      <c r="B8" s="101">
        <v>1380</v>
      </c>
      <c r="C8" s="102">
        <v>2.0366298203928629E-2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R8" s="95"/>
      <c r="S8" s="104"/>
      <c r="T8" s="95"/>
      <c r="U8" s="95"/>
      <c r="V8" s="95"/>
    </row>
    <row r="9" spans="1:22" ht="15">
      <c r="A9" s="100" t="s">
        <v>15</v>
      </c>
      <c r="B9" s="106">
        <v>5368</v>
      </c>
      <c r="C9" s="108">
        <v>0.13400000000000001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S9" s="95"/>
      <c r="T9" s="95"/>
      <c r="U9" s="95"/>
      <c r="V9" s="95"/>
    </row>
    <row r="10" spans="1:22" ht="15">
      <c r="A10" s="100" t="s">
        <v>14</v>
      </c>
      <c r="B10" s="106">
        <v>6226</v>
      </c>
      <c r="C10" s="108">
        <v>0.10100000000000001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S10" s="95"/>
      <c r="T10" s="95"/>
      <c r="U10" s="95"/>
      <c r="V10" s="95"/>
    </row>
    <row r="11" spans="1:22" ht="15">
      <c r="A11" s="100" t="s">
        <v>13</v>
      </c>
      <c r="B11" s="106">
        <v>5243</v>
      </c>
      <c r="C11" s="108">
        <v>5.6599999999999998E-2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S11" s="95"/>
      <c r="T11" s="95"/>
      <c r="U11" s="95"/>
      <c r="V11" s="95"/>
    </row>
    <row r="12" spans="1:22" ht="15">
      <c r="A12" s="100" t="s">
        <v>12</v>
      </c>
      <c r="B12" s="106">
        <v>6451</v>
      </c>
      <c r="C12" s="108">
        <v>7.3999999999999996E-2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S12" s="95"/>
      <c r="T12" s="95"/>
      <c r="U12" s="95"/>
      <c r="V12" s="95"/>
    </row>
    <row r="13" spans="1:22" ht="15">
      <c r="A13" s="100" t="s">
        <v>1</v>
      </c>
      <c r="B13" s="106">
        <v>7219</v>
      </c>
      <c r="C13" s="108">
        <v>0.11218857367694278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S13" s="95"/>
      <c r="T13" s="95"/>
      <c r="U13" s="95"/>
      <c r="V13" s="95"/>
    </row>
    <row r="14" spans="1:22" ht="15">
      <c r="A14" s="100" t="s">
        <v>30</v>
      </c>
      <c r="B14" s="106">
        <v>8748</v>
      </c>
      <c r="C14" s="108">
        <v>0.15071711498888782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S14" s="95"/>
      <c r="T14" s="95"/>
      <c r="U14" s="95"/>
      <c r="V14" s="95"/>
    </row>
    <row r="15" spans="1:22" ht="15">
      <c r="A15" s="100" t="s">
        <v>31</v>
      </c>
      <c r="B15" s="106">
        <v>7761</v>
      </c>
      <c r="C15" s="108">
        <v>0.113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S15" s="95"/>
      <c r="T15" s="95"/>
      <c r="U15" s="95"/>
      <c r="V15" s="95"/>
    </row>
    <row r="16" spans="1:22">
      <c r="A16" s="95"/>
      <c r="B16" s="95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S16" s="95"/>
      <c r="T16" s="95"/>
      <c r="U16" s="95"/>
      <c r="V16" s="95"/>
    </row>
    <row r="17" spans="2:2">
      <c r="B17" s="107"/>
    </row>
    <row r="31" spans="2:2" ht="12.6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7F6E-B22D-405C-827D-DF684A9F584D}">
  <sheetPr>
    <tabColor rgb="FF92D050"/>
  </sheetPr>
  <dimension ref="A1:U45"/>
  <sheetViews>
    <sheetView showGridLines="0" zoomScale="80" zoomScaleNormal="8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RowHeight="12.75"/>
  <cols>
    <col min="1" max="1" width="33.140625" style="23" customWidth="1"/>
    <col min="2" max="2" width="12.28515625" style="9" bestFit="1" customWidth="1"/>
    <col min="3" max="17" width="11.28515625" style="9" bestFit="1" customWidth="1"/>
    <col min="18" max="19" width="9.5703125" style="9" bestFit="1" customWidth="1"/>
    <col min="20" max="16384" width="9.140625" style="1"/>
  </cols>
  <sheetData>
    <row r="1" spans="1:21">
      <c r="A1" s="24" t="s">
        <v>0</v>
      </c>
      <c r="B1" s="4" t="s">
        <v>181</v>
      </c>
      <c r="C1" s="4" t="s">
        <v>180</v>
      </c>
      <c r="D1" s="4" t="s">
        <v>37</v>
      </c>
      <c r="E1" s="4" t="s">
        <v>36</v>
      </c>
      <c r="F1" s="4" t="s">
        <v>31</v>
      </c>
      <c r="G1" s="4" t="s">
        <v>30</v>
      </c>
      <c r="H1" s="4" t="s">
        <v>1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4" t="s">
        <v>20</v>
      </c>
      <c r="S1" s="4" t="s">
        <v>21</v>
      </c>
    </row>
    <row r="2" spans="1:21" ht="6.75" customHeight="1"/>
    <row r="3" spans="1:21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1">
      <c r="A4" s="7" t="s">
        <v>2</v>
      </c>
      <c r="B4" s="29">
        <v>56</v>
      </c>
      <c r="C4" s="29">
        <v>59</v>
      </c>
      <c r="D4" s="29">
        <f>E4</f>
        <v>60</v>
      </c>
      <c r="E4" s="8">
        <v>60</v>
      </c>
      <c r="F4" s="8">
        <v>54</v>
      </c>
      <c r="G4" s="8">
        <v>54</v>
      </c>
      <c r="H4" s="8">
        <v>58</v>
      </c>
      <c r="I4" s="8">
        <v>53</v>
      </c>
      <c r="J4" s="8">
        <v>53</v>
      </c>
      <c r="K4" s="8">
        <v>48</v>
      </c>
      <c r="L4" s="8">
        <v>39</v>
      </c>
      <c r="M4" s="8">
        <v>36</v>
      </c>
      <c r="N4" s="9">
        <v>35</v>
      </c>
      <c r="O4" s="9">
        <v>35</v>
      </c>
      <c r="P4" s="9">
        <v>33</v>
      </c>
      <c r="Q4" s="9">
        <v>19</v>
      </c>
      <c r="R4" s="9">
        <v>5</v>
      </c>
      <c r="S4" s="9">
        <v>4</v>
      </c>
    </row>
    <row r="5" spans="1:21">
      <c r="A5" s="10" t="s">
        <v>23</v>
      </c>
      <c r="B5" s="29">
        <v>4802605</v>
      </c>
      <c r="C5" s="29">
        <v>4964953</v>
      </c>
      <c r="D5" s="29">
        <f t="shared" ref="D5:D6" si="0">E5</f>
        <v>4966223</v>
      </c>
      <c r="E5" s="2">
        <v>4966223</v>
      </c>
      <c r="F5" s="2">
        <f>4624658000/1000</f>
        <v>4624658</v>
      </c>
      <c r="G5" s="2">
        <v>4641938</v>
      </c>
      <c r="H5" s="2">
        <v>4953938</v>
      </c>
      <c r="I5" s="2">
        <v>4394282</v>
      </c>
      <c r="J5" s="2">
        <v>4394282</v>
      </c>
      <c r="K5" s="2">
        <v>4233262</v>
      </c>
      <c r="L5" s="2">
        <v>3931740</v>
      </c>
      <c r="M5" s="2">
        <v>3879482</v>
      </c>
      <c r="N5" s="2">
        <v>3341030</v>
      </c>
      <c r="O5" s="2">
        <v>3341030</v>
      </c>
      <c r="P5" s="2">
        <v>3293510</v>
      </c>
      <c r="Q5" s="2">
        <v>1060890</v>
      </c>
      <c r="R5" s="2">
        <v>97920</v>
      </c>
      <c r="S5" s="2">
        <v>70920</v>
      </c>
    </row>
    <row r="6" spans="1:21">
      <c r="A6" s="7" t="s">
        <v>3</v>
      </c>
      <c r="B6" s="29">
        <v>30254</v>
      </c>
      <c r="C6" s="29">
        <v>31334</v>
      </c>
      <c r="D6" s="29">
        <f t="shared" si="0"/>
        <v>31300</v>
      </c>
      <c r="E6" s="11">
        <v>31300</v>
      </c>
      <c r="F6" s="11">
        <v>31611</v>
      </c>
      <c r="G6" s="11">
        <v>31755</v>
      </c>
      <c r="H6" s="11">
        <v>33855</v>
      </c>
      <c r="I6" s="11">
        <v>30605</v>
      </c>
      <c r="J6" s="11">
        <v>30605</v>
      </c>
      <c r="K6" s="11">
        <v>28891</v>
      </c>
      <c r="L6" s="11">
        <v>27674</v>
      </c>
      <c r="M6" s="11">
        <v>29007</v>
      </c>
      <c r="N6" s="12">
        <v>23271</v>
      </c>
      <c r="O6" s="12">
        <v>23271</v>
      </c>
      <c r="P6" s="12">
        <v>22919</v>
      </c>
      <c r="Q6" s="12">
        <v>7139</v>
      </c>
      <c r="R6" s="12">
        <v>684</v>
      </c>
      <c r="S6" s="12">
        <v>504</v>
      </c>
    </row>
    <row r="7" spans="1:21">
      <c r="A7" s="7" t="s">
        <v>4</v>
      </c>
      <c r="B7" s="29">
        <f>B6/B4</f>
        <v>540.25</v>
      </c>
      <c r="C7" s="29">
        <f>C6/C4</f>
        <v>531.08474576271192</v>
      </c>
      <c r="D7" s="29">
        <f>D6/D4</f>
        <v>521.66666666666663</v>
      </c>
      <c r="E7" s="29">
        <f>E6/E4</f>
        <v>521.66666666666663</v>
      </c>
      <c r="F7" s="13">
        <v>585.38888888888891</v>
      </c>
      <c r="G7" s="13">
        <v>588.05555555555554</v>
      </c>
      <c r="H7" s="13">
        <v>583.70689655172418</v>
      </c>
      <c r="I7" s="13">
        <v>577.45283018867929</v>
      </c>
      <c r="J7" s="13">
        <v>577.45283018867929</v>
      </c>
      <c r="K7" s="13">
        <v>601.89583333333337</v>
      </c>
      <c r="L7" s="13">
        <v>709.58974358974353</v>
      </c>
      <c r="M7" s="13">
        <v>805.75</v>
      </c>
      <c r="N7" s="14">
        <v>664.88571428571424</v>
      </c>
      <c r="O7" s="14">
        <v>664.88571428571424</v>
      </c>
      <c r="P7" s="14">
        <v>694.5151515151515</v>
      </c>
      <c r="Q7" s="14">
        <v>375.73684210526318</v>
      </c>
      <c r="R7" s="14">
        <v>136.80000000000001</v>
      </c>
      <c r="S7" s="14">
        <v>126</v>
      </c>
    </row>
    <row r="8" spans="1:21" ht="6" customHeight="1"/>
    <row r="9" spans="1:21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1">
      <c r="A10" s="15" t="s">
        <v>6</v>
      </c>
      <c r="B10" s="16">
        <v>3.7600000000000001E-2</v>
      </c>
      <c r="C10" s="16">
        <f t="shared" ref="C10:D13" si="1">D10</f>
        <v>4.1599999999999998E-2</v>
      </c>
      <c r="D10" s="16">
        <f t="shared" si="1"/>
        <v>4.1599999999999998E-2</v>
      </c>
      <c r="E10" s="16">
        <v>4.1599999999999998E-2</v>
      </c>
      <c r="F10" s="16">
        <v>3.910031318212015E-2</v>
      </c>
      <c r="G10" s="16">
        <v>4.3961580853408913E-2</v>
      </c>
      <c r="H10" s="16">
        <v>0.09</v>
      </c>
      <c r="I10" s="16">
        <v>0.11226923705276916</v>
      </c>
      <c r="J10" s="16">
        <v>0.11226923705276916</v>
      </c>
      <c r="K10" s="16">
        <v>0.13246181069661622</v>
      </c>
      <c r="L10" s="16">
        <v>0.11346390113463901</v>
      </c>
      <c r="M10" s="16">
        <v>0.23911469645258041</v>
      </c>
      <c r="N10" s="17">
        <v>0.26144127884491425</v>
      </c>
      <c r="O10" s="18">
        <v>0.26144127884491425</v>
      </c>
      <c r="P10" s="18">
        <v>0.36359999999999998</v>
      </c>
      <c r="Q10" s="18">
        <v>0.42109999999999997</v>
      </c>
      <c r="R10" s="18">
        <v>0.4</v>
      </c>
      <c r="S10" s="18">
        <v>0.5</v>
      </c>
    </row>
    <row r="11" spans="1:21">
      <c r="A11" s="15" t="s">
        <v>7</v>
      </c>
      <c r="B11" s="16">
        <v>53.49</v>
      </c>
      <c r="C11" s="16">
        <f t="shared" si="1"/>
        <v>0.53369999999999995</v>
      </c>
      <c r="D11" s="16">
        <f t="shared" si="1"/>
        <v>0.53369999999999995</v>
      </c>
      <c r="E11" s="16">
        <v>0.53369999999999995</v>
      </c>
      <c r="F11" s="16">
        <v>0.50662743981525415</v>
      </c>
      <c r="G11" s="16">
        <v>0.49261533616753267</v>
      </c>
      <c r="H11" s="16">
        <v>0.48139999999999999</v>
      </c>
      <c r="I11" s="16">
        <v>0.43930730272831237</v>
      </c>
      <c r="J11" s="16">
        <v>0.43930730272831237</v>
      </c>
      <c r="K11" s="16">
        <v>0.36947022498284643</v>
      </c>
      <c r="L11" s="16">
        <v>0.44597817445978172</v>
      </c>
      <c r="M11" s="16">
        <v>0.32388733753921467</v>
      </c>
      <c r="N11" s="17">
        <v>0.3544325555412316</v>
      </c>
      <c r="O11" s="18">
        <v>0.3544325555412316</v>
      </c>
      <c r="P11" s="18">
        <v>0.2727</v>
      </c>
      <c r="Q11" s="18">
        <v>0.21049999999999999</v>
      </c>
      <c r="R11" s="18">
        <v>0.2</v>
      </c>
      <c r="S11" s="18">
        <v>0</v>
      </c>
    </row>
    <row r="12" spans="1:21">
      <c r="A12" s="15" t="s">
        <v>8</v>
      </c>
      <c r="B12" s="16">
        <v>0.40279999999999999</v>
      </c>
      <c r="C12" s="16">
        <f t="shared" si="1"/>
        <v>0.40620000000000001</v>
      </c>
      <c r="D12" s="16">
        <f t="shared" si="1"/>
        <v>0.40620000000000001</v>
      </c>
      <c r="E12" s="16">
        <v>0.40620000000000001</v>
      </c>
      <c r="F12" s="16">
        <v>0.44212457688779222</v>
      </c>
      <c r="G12" s="16">
        <v>0.44452842072114629</v>
      </c>
      <c r="H12" s="16">
        <v>0.4103</v>
      </c>
      <c r="I12" s="16">
        <v>0.42881882045417413</v>
      </c>
      <c r="J12" s="16">
        <v>0.42881882045417413</v>
      </c>
      <c r="K12" s="16">
        <v>0.44519880105449422</v>
      </c>
      <c r="L12" s="16">
        <v>0.41887692418876926</v>
      </c>
      <c r="M12" s="16">
        <v>0.41838176991760612</v>
      </c>
      <c r="N12" s="17">
        <v>0.33518112672424905</v>
      </c>
      <c r="O12" s="18">
        <v>0.33518112672424905</v>
      </c>
      <c r="P12" s="18">
        <v>0.30299999999999999</v>
      </c>
      <c r="Q12" s="18">
        <v>0.36840000000000001</v>
      </c>
      <c r="R12" s="18">
        <v>0.4</v>
      </c>
      <c r="S12" s="18">
        <v>0.5</v>
      </c>
    </row>
    <row r="13" spans="1:21">
      <c r="A13" s="15" t="s">
        <v>24</v>
      </c>
      <c r="B13" s="16">
        <v>2.46E-2</v>
      </c>
      <c r="C13" s="16">
        <f t="shared" si="1"/>
        <v>1.8499999999999999E-2</v>
      </c>
      <c r="D13" s="16">
        <f t="shared" si="1"/>
        <v>1.8499999999999999E-2</v>
      </c>
      <c r="E13" s="16">
        <v>1.8499999999999999E-2</v>
      </c>
      <c r="F13" s="16">
        <v>1.2147670114833444E-2</v>
      </c>
      <c r="G13" s="16">
        <v>1.8894662257912139E-2</v>
      </c>
      <c r="H13" s="16">
        <v>1.83E-2</v>
      </c>
      <c r="I13" s="16">
        <v>1.9604639764744324E-2</v>
      </c>
      <c r="J13" s="16">
        <v>1.9604639764744324E-2</v>
      </c>
      <c r="K13" s="16">
        <v>5.2868242389223982E-2</v>
      </c>
      <c r="L13" s="16">
        <v>2.1681000216810003E-2</v>
      </c>
      <c r="M13" s="16">
        <v>1.8616196090598822E-2</v>
      </c>
      <c r="N13" s="17">
        <v>4.8993622964204397E-2</v>
      </c>
      <c r="O13" s="18">
        <v>4.8993622964204397E-2</v>
      </c>
      <c r="P13" s="18">
        <v>6.0699999999999997E-2</v>
      </c>
      <c r="Q13" s="18">
        <v>0</v>
      </c>
      <c r="R13" s="18">
        <v>0</v>
      </c>
      <c r="S13" s="18">
        <v>0</v>
      </c>
    </row>
    <row r="14" spans="1:21" ht="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21">
      <c r="A15" s="5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1">
      <c r="A16" s="7" t="s">
        <v>2</v>
      </c>
      <c r="B16" s="12">
        <v>2</v>
      </c>
      <c r="C16" s="12">
        <v>2</v>
      </c>
      <c r="D16" s="12">
        <f>SUM(E16:H16)</f>
        <v>6</v>
      </c>
      <c r="E16" s="19">
        <v>0</v>
      </c>
      <c r="F16" s="12">
        <v>1</v>
      </c>
      <c r="G16" s="12">
        <v>4</v>
      </c>
      <c r="H16" s="12">
        <v>1</v>
      </c>
      <c r="I16" s="12">
        <v>13</v>
      </c>
      <c r="J16" s="12">
        <v>2</v>
      </c>
      <c r="K16" s="12">
        <v>5</v>
      </c>
      <c r="L16" s="12">
        <v>3</v>
      </c>
      <c r="M16" s="12">
        <v>3</v>
      </c>
      <c r="N16" s="12">
        <v>4</v>
      </c>
      <c r="O16" s="19">
        <v>0</v>
      </c>
      <c r="P16" s="12">
        <v>2</v>
      </c>
      <c r="Q16" s="12">
        <v>1</v>
      </c>
      <c r="R16" s="12">
        <v>1</v>
      </c>
      <c r="S16" s="12">
        <v>11</v>
      </c>
      <c r="U16" s="26"/>
    </row>
    <row r="17" spans="1:20">
      <c r="A17" s="10" t="s">
        <v>25</v>
      </c>
      <c r="B17" s="11">
        <f>28696+64313</f>
        <v>93009</v>
      </c>
      <c r="C17" s="12">
        <f>52560+32300</f>
        <v>84860</v>
      </c>
      <c r="D17" s="12">
        <f>SUM(E17:H17)</f>
        <v>482770</v>
      </c>
      <c r="E17" s="2">
        <v>0</v>
      </c>
      <c r="F17" s="2">
        <f>39960000/1000</f>
        <v>39960</v>
      </c>
      <c r="G17" s="2">
        <v>370810</v>
      </c>
      <c r="H17" s="2">
        <v>72000</v>
      </c>
      <c r="I17" s="2">
        <v>500662.99300000002</v>
      </c>
      <c r="J17" s="2">
        <v>142800</v>
      </c>
      <c r="K17" s="2">
        <v>60109.993000000002</v>
      </c>
      <c r="L17" s="2">
        <v>130153</v>
      </c>
      <c r="M17" s="2">
        <v>167600</v>
      </c>
      <c r="N17" s="2">
        <v>244995</v>
      </c>
      <c r="O17" s="2">
        <v>0</v>
      </c>
      <c r="P17" s="2">
        <v>56392</v>
      </c>
      <c r="Q17" s="2">
        <v>4603</v>
      </c>
      <c r="R17" s="2">
        <v>184000</v>
      </c>
      <c r="S17" s="2">
        <v>521786</v>
      </c>
      <c r="T17" s="26"/>
    </row>
    <row r="18" spans="1:20">
      <c r="A18" s="7" t="s">
        <v>9</v>
      </c>
      <c r="B18" s="12">
        <f>144+400</f>
        <v>544</v>
      </c>
      <c r="C18" s="12">
        <v>552</v>
      </c>
      <c r="D18" s="12">
        <f>SUM(E18:H18)</f>
        <v>2836</v>
      </c>
      <c r="E18" s="21">
        <v>0</v>
      </c>
      <c r="F18" s="20">
        <v>296</v>
      </c>
      <c r="G18" s="20">
        <v>2060</v>
      </c>
      <c r="H18" s="20">
        <v>480</v>
      </c>
      <c r="I18" s="20">
        <v>3640</v>
      </c>
      <c r="J18" s="20">
        <v>1012</v>
      </c>
      <c r="K18" s="20">
        <v>444</v>
      </c>
      <c r="L18" s="20">
        <v>1020</v>
      </c>
      <c r="M18" s="20">
        <v>1164</v>
      </c>
      <c r="N18" s="20">
        <v>1570</v>
      </c>
      <c r="O18" s="21">
        <v>0</v>
      </c>
      <c r="P18" s="20">
        <v>466</v>
      </c>
      <c r="Q18" s="20">
        <v>24</v>
      </c>
      <c r="R18" s="20">
        <v>1080</v>
      </c>
      <c r="S18" s="20">
        <v>3208</v>
      </c>
    </row>
    <row r="19" spans="1:20">
      <c r="A19" s="7" t="s">
        <v>173</v>
      </c>
      <c r="B19" s="110">
        <f>IFERROR((B17/B18)*1000,0)</f>
        <v>170972.42647058822</v>
      </c>
      <c r="C19" s="110">
        <f>IFERROR((C17/C18)*1000,0)</f>
        <v>153731.88405797101</v>
      </c>
      <c r="D19" s="110">
        <f>IFERROR((D17/D18)*1000,0)</f>
        <v>170229.19605077573</v>
      </c>
      <c r="E19" s="110">
        <f t="shared" ref="E19:S19" si="2">IFERROR((E17/E18)*1000,0)</f>
        <v>0</v>
      </c>
      <c r="F19" s="110">
        <f t="shared" si="2"/>
        <v>135000</v>
      </c>
      <c r="G19" s="110">
        <f t="shared" si="2"/>
        <v>180004.85436893202</v>
      </c>
      <c r="H19" s="110">
        <f t="shared" si="2"/>
        <v>150000</v>
      </c>
      <c r="I19" s="110">
        <f t="shared" si="2"/>
        <v>137544.7782967033</v>
      </c>
      <c r="J19" s="110">
        <f t="shared" si="2"/>
        <v>141106.71936758893</v>
      </c>
      <c r="K19" s="110">
        <f t="shared" si="2"/>
        <v>135382.8671171171</v>
      </c>
      <c r="L19" s="110">
        <f t="shared" si="2"/>
        <v>127600.98039215685</v>
      </c>
      <c r="M19" s="110">
        <f t="shared" si="2"/>
        <v>143986.25429553262</v>
      </c>
      <c r="N19" s="110">
        <f t="shared" si="2"/>
        <v>156047.77070063693</v>
      </c>
      <c r="O19" s="110">
        <f t="shared" si="2"/>
        <v>0</v>
      </c>
      <c r="P19" s="110">
        <f t="shared" si="2"/>
        <v>121012.87553648069</v>
      </c>
      <c r="Q19" s="110">
        <f t="shared" si="2"/>
        <v>191791.66666666666</v>
      </c>
      <c r="R19" s="110">
        <f t="shared" si="2"/>
        <v>170370.37037037039</v>
      </c>
      <c r="S19" s="110">
        <f t="shared" si="2"/>
        <v>162651.49625935164</v>
      </c>
    </row>
    <row r="20" spans="1:20" ht="5.25" customHeight="1">
      <c r="A20" s="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20">
      <c r="A21" s="5" t="s">
        <v>27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20">
      <c r="A22" s="10" t="s">
        <v>177</v>
      </c>
      <c r="B22" s="12">
        <v>141263</v>
      </c>
      <c r="C22" s="12">
        <v>133525</v>
      </c>
      <c r="D22" s="12">
        <f>SUM(E22:H22)</f>
        <v>326496.05599999998</v>
      </c>
      <c r="E22" s="2">
        <f>81868608.18/1000</f>
        <v>81868.60818000001</v>
      </c>
      <c r="F22" s="2">
        <f>89924716.55/1000</f>
        <v>89924.716549999997</v>
      </c>
      <c r="G22" s="2">
        <f>71424936.09/1000</f>
        <v>71424.936090000003</v>
      </c>
      <c r="H22" s="2">
        <v>83277.795180000001</v>
      </c>
      <c r="I22" s="2">
        <v>352037.0073</v>
      </c>
      <c r="J22" s="2">
        <v>89325.921740000005</v>
      </c>
      <c r="K22" s="2">
        <v>100070.50205</v>
      </c>
      <c r="L22" s="2">
        <v>80903.280639999983</v>
      </c>
      <c r="M22" s="2">
        <v>81737.30287</v>
      </c>
      <c r="N22" s="2">
        <v>262705.09064999997</v>
      </c>
      <c r="O22" s="2">
        <v>67829.62169</v>
      </c>
      <c r="P22" s="2">
        <v>59231.927259999997</v>
      </c>
      <c r="Q22" s="2">
        <v>91148.724829999992</v>
      </c>
      <c r="R22" s="2">
        <v>44494.816870000002</v>
      </c>
      <c r="S22" s="2">
        <v>169513.89541000003</v>
      </c>
    </row>
    <row r="23" spans="1:20">
      <c r="A23" s="7" t="s">
        <v>10</v>
      </c>
      <c r="B23" s="12">
        <v>873</v>
      </c>
      <c r="C23" s="12">
        <v>884</v>
      </c>
      <c r="D23" s="12">
        <f>SUM(E23:H23)</f>
        <v>2161</v>
      </c>
      <c r="E23" s="12">
        <v>544</v>
      </c>
      <c r="F23" s="12">
        <v>535</v>
      </c>
      <c r="G23" s="12">
        <v>481</v>
      </c>
      <c r="H23" s="12">
        <v>601</v>
      </c>
      <c r="I23" s="20">
        <v>2704</v>
      </c>
      <c r="J23" s="20">
        <v>686</v>
      </c>
      <c r="K23" s="20">
        <v>778</v>
      </c>
      <c r="L23" s="20">
        <v>627</v>
      </c>
      <c r="M23" s="20">
        <v>613</v>
      </c>
      <c r="N23" s="20">
        <v>1949</v>
      </c>
      <c r="O23" s="20">
        <v>526</v>
      </c>
      <c r="P23" s="20">
        <v>439</v>
      </c>
      <c r="Q23" s="20">
        <v>629</v>
      </c>
      <c r="R23" s="20">
        <v>355</v>
      </c>
      <c r="S23" s="20">
        <v>1337</v>
      </c>
    </row>
    <row r="24" spans="1:20" ht="4.5" customHeight="1">
      <c r="A24" s="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20">
      <c r="A25" s="5" t="s">
        <v>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20">
      <c r="A26" s="10" t="s">
        <v>178</v>
      </c>
      <c r="B26" s="115">
        <f t="shared" ref="B26:C26" si="3">B27-B22</f>
        <v>-11717</v>
      </c>
      <c r="C26" s="115">
        <f t="shared" si="3"/>
        <v>-8406</v>
      </c>
      <c r="D26" s="115">
        <f t="shared" ref="D26:S26" si="4">D27-D22</f>
        <v>-48496.227169999969</v>
      </c>
      <c r="E26" s="115">
        <f t="shared" si="4"/>
        <v>-8097.8790200000076</v>
      </c>
      <c r="F26" s="115">
        <f t="shared" si="4"/>
        <v>-10285.017000000007</v>
      </c>
      <c r="G26" s="115">
        <f t="shared" si="4"/>
        <v>-15549.917310000004</v>
      </c>
      <c r="H26" s="115">
        <f t="shared" si="4"/>
        <v>-14563.413839999994</v>
      </c>
      <c r="I26" s="115">
        <f t="shared" si="4"/>
        <v>-57886.70789000002</v>
      </c>
      <c r="J26" s="115">
        <f t="shared" si="4"/>
        <v>-17420.202800000014</v>
      </c>
      <c r="K26" s="115">
        <f t="shared" si="4"/>
        <v>-11965.401079999996</v>
      </c>
      <c r="L26" s="115">
        <f t="shared" si="4"/>
        <v>-10556.641579999996</v>
      </c>
      <c r="M26" s="115">
        <f t="shared" si="4"/>
        <v>-17944.462429999992</v>
      </c>
      <c r="N26" s="115">
        <f t="shared" si="4"/>
        <v>-18583.916559999954</v>
      </c>
      <c r="O26" s="115">
        <f t="shared" si="4"/>
        <v>-6340.7030200000008</v>
      </c>
      <c r="P26" s="115">
        <f t="shared" si="4"/>
        <v>-5903.7702100000024</v>
      </c>
      <c r="Q26" s="115">
        <f t="shared" si="4"/>
        <v>-2835.1999999999971</v>
      </c>
      <c r="R26" s="115">
        <f t="shared" si="4"/>
        <v>-3504.2433300000048</v>
      </c>
      <c r="S26" s="115">
        <f t="shared" si="4"/>
        <v>-7644.9213200000231</v>
      </c>
    </row>
    <row r="27" spans="1:20">
      <c r="A27" s="10" t="s">
        <v>176</v>
      </c>
      <c r="B27" s="12">
        <v>129546</v>
      </c>
      <c r="C27" s="12">
        <v>125119</v>
      </c>
      <c r="D27" s="12">
        <f>SUM(E27:H27)</f>
        <v>277999.82883000001</v>
      </c>
      <c r="E27" s="2">
        <f>73770729.16/1000</f>
        <v>73770.729160000003</v>
      </c>
      <c r="F27" s="2">
        <f>79639699.55/1000</f>
        <v>79639.69954999999</v>
      </c>
      <c r="G27" s="2">
        <f>55875018.78/1000</f>
        <v>55875.018779999999</v>
      </c>
      <c r="H27" s="2">
        <v>68714.381340000007</v>
      </c>
      <c r="I27" s="2">
        <v>294150.29940999998</v>
      </c>
      <c r="J27" s="2">
        <v>71905.718939999992</v>
      </c>
      <c r="K27" s="2">
        <v>88105.10097</v>
      </c>
      <c r="L27" s="2">
        <v>70346.639059999987</v>
      </c>
      <c r="M27" s="2">
        <v>63792.840440000007</v>
      </c>
      <c r="N27" s="2">
        <v>244121.17409000001</v>
      </c>
      <c r="O27" s="2">
        <v>61488.918669999999</v>
      </c>
      <c r="P27" s="2">
        <v>53328.157049999994</v>
      </c>
      <c r="Q27" s="2">
        <v>88313.524829999995</v>
      </c>
      <c r="R27" s="2">
        <v>40990.573539999998</v>
      </c>
      <c r="S27" s="2">
        <v>161868.97409</v>
      </c>
    </row>
    <row r="28" spans="1:20">
      <c r="A28" s="7" t="s">
        <v>10</v>
      </c>
      <c r="B28" s="12">
        <v>791</v>
      </c>
      <c r="C28" s="12">
        <v>825</v>
      </c>
      <c r="D28" s="12">
        <f>SUM(E28:H28)</f>
        <v>1795</v>
      </c>
      <c r="E28" s="12">
        <v>488</v>
      </c>
      <c r="F28" s="12">
        <v>456</v>
      </c>
      <c r="G28" s="12">
        <v>362</v>
      </c>
      <c r="H28" s="12">
        <v>489</v>
      </c>
      <c r="I28" s="20">
        <f>SUM(J28:M28)</f>
        <v>2256</v>
      </c>
      <c r="J28" s="12">
        <v>551</v>
      </c>
      <c r="K28" s="12">
        <v>687</v>
      </c>
      <c r="L28" s="12">
        <v>544</v>
      </c>
      <c r="M28" s="12">
        <v>474</v>
      </c>
      <c r="N28" s="20">
        <f>SUM(O28:R28)</f>
        <v>1803</v>
      </c>
      <c r="O28" s="12">
        <v>476</v>
      </c>
      <c r="P28" s="12">
        <v>394</v>
      </c>
      <c r="Q28" s="12">
        <v>608</v>
      </c>
      <c r="R28" s="12">
        <v>325</v>
      </c>
      <c r="S28" s="20">
        <v>1278</v>
      </c>
    </row>
    <row r="29" spans="1:20">
      <c r="A29" s="7" t="s">
        <v>173</v>
      </c>
      <c r="B29" s="12">
        <f>(B27/B28)*1000</f>
        <v>163774.96839443743</v>
      </c>
      <c r="C29" s="12">
        <f>(C27/C28)*1000</f>
        <v>151659.39393939395</v>
      </c>
      <c r="D29" s="12">
        <f>(D27/D28)*1000</f>
        <v>154874.55645125348</v>
      </c>
      <c r="E29" s="12">
        <f t="shared" ref="E29:S29" si="5">(E27/E28)*1000</f>
        <v>151169.52696721314</v>
      </c>
      <c r="F29" s="12">
        <f t="shared" si="5"/>
        <v>174648.46392543855</v>
      </c>
      <c r="G29" s="12">
        <f t="shared" si="5"/>
        <v>154350.88060773481</v>
      </c>
      <c r="H29" s="12">
        <f t="shared" si="5"/>
        <v>140520.20723926381</v>
      </c>
      <c r="I29" s="12">
        <f t="shared" si="5"/>
        <v>130385.7710150709</v>
      </c>
      <c r="J29" s="12">
        <f t="shared" si="5"/>
        <v>130500.39735027221</v>
      </c>
      <c r="K29" s="12">
        <f t="shared" si="5"/>
        <v>128246.14406113536</v>
      </c>
      <c r="L29" s="12">
        <f t="shared" si="5"/>
        <v>129313.67474264704</v>
      </c>
      <c r="M29" s="12">
        <f t="shared" si="5"/>
        <v>134584.05156118143</v>
      </c>
      <c r="N29" s="12">
        <f t="shared" si="5"/>
        <v>135397.21247365503</v>
      </c>
      <c r="O29" s="12">
        <f t="shared" si="5"/>
        <v>129178.4005672269</v>
      </c>
      <c r="P29" s="12">
        <f t="shared" si="5"/>
        <v>135350.65241116748</v>
      </c>
      <c r="Q29" s="12">
        <f t="shared" si="5"/>
        <v>145252.50794407894</v>
      </c>
      <c r="R29" s="12">
        <f t="shared" si="5"/>
        <v>126124.84166153845</v>
      </c>
      <c r="S29" s="12">
        <f t="shared" si="5"/>
        <v>126658.03919405321</v>
      </c>
    </row>
    <row r="30" spans="1:20" s="3" customFormat="1">
      <c r="A30" s="27" t="s">
        <v>29</v>
      </c>
      <c r="B30" s="20">
        <v>2262</v>
      </c>
      <c r="C30" s="20">
        <v>2530</v>
      </c>
      <c r="D30" s="20">
        <f>E30</f>
        <v>2825</v>
      </c>
      <c r="E30" s="20">
        <v>2825</v>
      </c>
      <c r="F30" s="20">
        <v>3296</v>
      </c>
      <c r="G30" s="20">
        <v>3474</v>
      </c>
      <c r="H30" s="20">
        <v>1799</v>
      </c>
      <c r="I30" s="20">
        <v>1809</v>
      </c>
      <c r="J30" s="20">
        <v>1809</v>
      </c>
      <c r="K30" s="20">
        <v>1360</v>
      </c>
      <c r="L30" s="20">
        <v>1886</v>
      </c>
      <c r="M30" s="20">
        <v>2031</v>
      </c>
      <c r="N30" s="20">
        <v>565</v>
      </c>
      <c r="O30" s="20">
        <v>565</v>
      </c>
      <c r="P30" s="20">
        <v>1041</v>
      </c>
      <c r="Q30" s="20">
        <v>998</v>
      </c>
      <c r="R30" s="20">
        <v>1582</v>
      </c>
      <c r="S30" s="20">
        <v>946</v>
      </c>
    </row>
    <row r="31" spans="1:20" s="25" customFormat="1">
      <c r="A31" s="22" t="s">
        <v>32</v>
      </c>
      <c r="B31" s="16">
        <f t="shared" ref="B31:G31" si="6">IFERROR(B28/(B30+B28),0)</f>
        <v>0.25908942024238452</v>
      </c>
      <c r="C31" s="16">
        <f t="shared" si="6"/>
        <v>0.24590163934426229</v>
      </c>
      <c r="D31" s="16">
        <f t="shared" si="6"/>
        <v>0.38852813852813856</v>
      </c>
      <c r="E31" s="16">
        <f t="shared" si="6"/>
        <v>0.14729852097796559</v>
      </c>
      <c r="F31" s="16">
        <f t="shared" si="6"/>
        <v>0.12153518123667377</v>
      </c>
      <c r="G31" s="16">
        <f t="shared" si="6"/>
        <v>9.4369134515119912E-2</v>
      </c>
      <c r="H31" s="16">
        <f t="shared" ref="H31:S31" si="7">IFERROR(H28/(H30+H28),0)</f>
        <v>0.21372377622377622</v>
      </c>
      <c r="I31" s="16">
        <f t="shared" si="7"/>
        <v>0.55498154981549819</v>
      </c>
      <c r="J31" s="16">
        <f t="shared" si="7"/>
        <v>0.23347457627118645</v>
      </c>
      <c r="K31" s="16">
        <f t="shared" si="7"/>
        <v>0.33561309233023939</v>
      </c>
      <c r="L31" s="16">
        <f t="shared" si="7"/>
        <v>0.22386831275720165</v>
      </c>
      <c r="M31" s="16">
        <f t="shared" si="7"/>
        <v>0.18922155688622755</v>
      </c>
      <c r="N31" s="17">
        <f t="shared" si="7"/>
        <v>0.76140202702702697</v>
      </c>
      <c r="O31" s="18">
        <f t="shared" si="7"/>
        <v>0.45725264169068203</v>
      </c>
      <c r="P31" s="18">
        <f t="shared" si="7"/>
        <v>0.27456445993031359</v>
      </c>
      <c r="Q31" s="18">
        <f t="shared" si="7"/>
        <v>0.37858032378580325</v>
      </c>
      <c r="R31" s="18">
        <f t="shared" si="7"/>
        <v>0.17042475091767173</v>
      </c>
      <c r="S31" s="18">
        <f t="shared" si="7"/>
        <v>0.57464028776978415</v>
      </c>
    </row>
    <row r="32" spans="1:20" ht="5.25" customHeight="1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>
      <c r="A33" s="5" t="s">
        <v>33</v>
      </c>
      <c r="B33" s="30"/>
      <c r="C33" s="30"/>
      <c r="D33" s="3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23" t="s">
        <v>34</v>
      </c>
      <c r="B34" s="2">
        <v>0</v>
      </c>
      <c r="C34" s="2">
        <v>69540</v>
      </c>
      <c r="D34" s="2">
        <f>SUM(E34:H34)</f>
        <v>587073.69999999995</v>
      </c>
      <c r="E34" s="2">
        <f>50327000/1000</f>
        <v>50327</v>
      </c>
      <c r="F34" s="2">
        <v>0</v>
      </c>
      <c r="G34" s="2">
        <f>402925500/1000</f>
        <v>402925.5</v>
      </c>
      <c r="H34" s="2">
        <f>133821200/1000</f>
        <v>133821.20000000001</v>
      </c>
      <c r="I34" s="2">
        <f>SUM(J34:M34)</f>
        <v>383387</v>
      </c>
      <c r="J34" s="2">
        <v>0</v>
      </c>
      <c r="K34" s="2">
        <f>186555400/1000</f>
        <v>186555.4</v>
      </c>
      <c r="L34" s="2">
        <f>134791600/1000</f>
        <v>134791.6</v>
      </c>
      <c r="M34" s="2">
        <f>62040000/1000</f>
        <v>62040</v>
      </c>
      <c r="N34" s="2">
        <f>SUM(O34:R34)</f>
        <v>326134.8</v>
      </c>
      <c r="O34" s="2">
        <f>40499800/1000</f>
        <v>40499.800000000003</v>
      </c>
      <c r="P34" s="2">
        <f>23200000/1000</f>
        <v>23200</v>
      </c>
      <c r="Q34" s="2">
        <f>109363000/1000</f>
        <v>109363</v>
      </c>
      <c r="R34" s="2">
        <f>153072000/1000</f>
        <v>153072</v>
      </c>
      <c r="S34" s="2">
        <v>269794</v>
      </c>
    </row>
    <row r="35" spans="1:19">
      <c r="A35" s="23" t="s">
        <v>35</v>
      </c>
      <c r="B35" s="2">
        <v>0</v>
      </c>
      <c r="C35" s="2">
        <v>360</v>
      </c>
      <c r="D35" s="2">
        <f>SUM(E35:H35)</f>
        <v>3008</v>
      </c>
      <c r="E35" s="20">
        <v>296</v>
      </c>
      <c r="F35" s="21">
        <v>0</v>
      </c>
      <c r="G35" s="20">
        <v>1916</v>
      </c>
      <c r="H35" s="9">
        <v>796</v>
      </c>
      <c r="I35" s="9">
        <f>SUM(J35:M35)</f>
        <v>2328</v>
      </c>
      <c r="J35" s="21">
        <v>0</v>
      </c>
      <c r="K35" s="9">
        <v>1164</v>
      </c>
      <c r="L35" s="9">
        <v>804</v>
      </c>
      <c r="M35" s="9">
        <v>360</v>
      </c>
      <c r="N35" s="9">
        <f>SUM(O35:R35)</f>
        <v>1930</v>
      </c>
      <c r="O35" s="9">
        <v>306</v>
      </c>
      <c r="P35" s="9">
        <v>160</v>
      </c>
      <c r="Q35" s="9">
        <v>564</v>
      </c>
      <c r="R35" s="2">
        <v>900</v>
      </c>
      <c r="S35" s="9">
        <v>1500</v>
      </c>
    </row>
    <row r="36" spans="1:19" ht="6.75" customHeight="1">
      <c r="B36" s="2"/>
      <c r="C36" s="2"/>
      <c r="D36" s="2"/>
      <c r="E36" s="20"/>
      <c r="F36" s="20"/>
      <c r="G36" s="20"/>
      <c r="R36" s="2"/>
    </row>
    <row r="37" spans="1:19">
      <c r="A37" s="5" t="s">
        <v>174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23" t="s">
        <v>179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>
      <c r="A39" s="23" t="s">
        <v>3</v>
      </c>
      <c r="B39" s="28">
        <f>176+146+160</f>
        <v>482</v>
      </c>
      <c r="C39" s="28">
        <v>672</v>
      </c>
      <c r="D39" s="28">
        <f>SUM(E39:H39)</f>
        <v>1900</v>
      </c>
      <c r="E39" s="28">
        <v>372</v>
      </c>
      <c r="F39" s="28">
        <v>617</v>
      </c>
      <c r="G39" s="28">
        <v>628</v>
      </c>
      <c r="H39" s="28">
        <v>283</v>
      </c>
      <c r="I39" s="28">
        <f>SUM(J39:M39)</f>
        <v>1794</v>
      </c>
      <c r="J39" s="28">
        <v>677</v>
      </c>
      <c r="K39" s="28">
        <v>477</v>
      </c>
      <c r="L39" s="28">
        <v>411</v>
      </c>
      <c r="M39" s="28">
        <v>229</v>
      </c>
      <c r="N39" s="28">
        <f>SUM(O39:R39)</f>
        <v>1658</v>
      </c>
      <c r="O39" s="28">
        <v>449</v>
      </c>
      <c r="P39" s="28">
        <v>382</v>
      </c>
      <c r="Q39" s="28">
        <v>521</v>
      </c>
      <c r="R39" s="28">
        <v>306</v>
      </c>
      <c r="S39" s="28">
        <v>1200</v>
      </c>
    </row>
    <row r="40" spans="1:19" ht="6.75" customHeight="1"/>
    <row r="41" spans="1:19">
      <c r="A41" s="5" t="s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>
      <c r="A42" s="23" t="s">
        <v>3</v>
      </c>
      <c r="B42" s="28">
        <v>48</v>
      </c>
      <c r="C42" s="28">
        <v>240</v>
      </c>
      <c r="D42" s="28">
        <f>SUM(E42:H42)</f>
        <v>1446</v>
      </c>
      <c r="E42" s="28">
        <v>1386</v>
      </c>
      <c r="F42" s="28">
        <v>60</v>
      </c>
      <c r="G42" s="28">
        <v>0</v>
      </c>
      <c r="H42" s="28">
        <v>0</v>
      </c>
      <c r="I42" s="8">
        <f>SUM(J42:M42)</f>
        <v>984</v>
      </c>
      <c r="J42" s="137">
        <v>0</v>
      </c>
      <c r="K42" s="137">
        <v>0</v>
      </c>
      <c r="L42" s="137">
        <v>0</v>
      </c>
      <c r="M42" s="8">
        <v>984</v>
      </c>
      <c r="N42" s="8">
        <f>SUM(O42:R42)</f>
        <v>696</v>
      </c>
      <c r="O42" s="21">
        <v>0</v>
      </c>
      <c r="P42" s="21">
        <v>0</v>
      </c>
      <c r="Q42" s="9">
        <v>396</v>
      </c>
      <c r="R42" s="9">
        <v>300</v>
      </c>
      <c r="S42" s="9">
        <v>976</v>
      </c>
    </row>
    <row r="45" spans="1:19">
      <c r="K45" s="18"/>
    </row>
  </sheetData>
  <phoneticPr fontId="2" type="noConversion"/>
  <pageMargins left="0.511811024" right="0.511811024" top="0.78740157499999996" bottom="0.78740157499999996" header="0.31496062000000002" footer="0.31496062000000002"/>
  <pageSetup paperSize="9" scale="80" orientation="landscape" r:id="rId1"/>
  <ignoredErrors>
    <ignoredError sqref="D4:D6 D10:D13 D17 D22 D30:D31 D39 E31:S31 I28 I35 I39 I42 D42 D27:D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C76E-61FF-4C0F-BC90-BE9447B8A1C3}">
  <sheetPr>
    <tabColor rgb="FF92D050"/>
  </sheetPr>
  <dimension ref="A1:P41"/>
  <sheetViews>
    <sheetView showGridLines="0" zoomScaleNormal="100" workbookViewId="0">
      <pane xSplit="1" ySplit="1" topLeftCell="B2" activePane="bottomRight" state="frozen"/>
      <selection activeCell="B9" sqref="B9"/>
      <selection pane="topRight" activeCell="B9" sqref="B9"/>
      <selection pane="bottomLeft" activeCell="B9" sqref="B9"/>
      <selection pane="bottomRight" activeCell="F12" sqref="F12"/>
    </sheetView>
  </sheetViews>
  <sheetFormatPr defaultColWidth="9.140625" defaultRowHeight="12.75"/>
  <cols>
    <col min="1" max="1" width="39.28515625" style="1" bestFit="1" customWidth="1"/>
    <col min="2" max="12" width="9.5703125" style="1" bestFit="1" customWidth="1"/>
    <col min="13" max="13" width="9.5703125" style="2" bestFit="1" customWidth="1"/>
    <col min="14" max="15" width="9.5703125" style="1" bestFit="1" customWidth="1"/>
    <col min="16" max="16" width="8.5703125" style="1" bestFit="1" customWidth="1"/>
    <col min="17" max="16384" width="9.140625" style="1"/>
  </cols>
  <sheetData>
    <row r="1" spans="1:16" s="33" customFormat="1">
      <c r="A1" s="31" t="s">
        <v>39</v>
      </c>
      <c r="B1" s="32" t="s">
        <v>181</v>
      </c>
      <c r="C1" s="32" t="s">
        <v>180</v>
      </c>
      <c r="D1" s="32" t="s">
        <v>36</v>
      </c>
      <c r="E1" s="32" t="s">
        <v>31</v>
      </c>
      <c r="F1" s="32" t="s">
        <v>30</v>
      </c>
      <c r="G1" s="32" t="s">
        <v>1</v>
      </c>
      <c r="H1" s="32">
        <v>2019</v>
      </c>
      <c r="I1" s="32" t="s">
        <v>13</v>
      </c>
      <c r="J1" s="32" t="s">
        <v>14</v>
      </c>
      <c r="K1" s="32" t="s">
        <v>15</v>
      </c>
      <c r="L1" s="32">
        <v>2018</v>
      </c>
      <c r="M1" s="32" t="s">
        <v>18</v>
      </c>
      <c r="N1" s="32" t="s">
        <v>19</v>
      </c>
      <c r="O1" s="32" t="s">
        <v>20</v>
      </c>
      <c r="P1" s="32">
        <v>2017</v>
      </c>
    </row>
    <row r="2" spans="1:16">
      <c r="A2" s="34"/>
    </row>
    <row r="3" spans="1:16">
      <c r="A3" s="35" t="s">
        <v>40</v>
      </c>
    </row>
    <row r="4" spans="1:16">
      <c r="A4" s="36" t="s">
        <v>41</v>
      </c>
      <c r="B4" s="37">
        <v>41684</v>
      </c>
      <c r="C4" s="37">
        <v>55539</v>
      </c>
      <c r="D4" s="37">
        <v>97754</v>
      </c>
      <c r="E4" s="37">
        <v>64875</v>
      </c>
      <c r="F4" s="37">
        <v>51023</v>
      </c>
      <c r="G4" s="37">
        <v>50893</v>
      </c>
      <c r="H4" s="37">
        <v>64550</v>
      </c>
      <c r="I4" s="37">
        <v>52710.671729999987</v>
      </c>
      <c r="J4" s="37">
        <v>62148.163719999982</v>
      </c>
      <c r="K4" s="37">
        <v>63497.046999999999</v>
      </c>
      <c r="L4" s="37">
        <v>30363</v>
      </c>
      <c r="M4" s="38">
        <v>30489.930750000003</v>
      </c>
      <c r="N4" s="37">
        <v>33165.549000000006</v>
      </c>
      <c r="O4" s="37">
        <v>24350.785360000016</v>
      </c>
      <c r="P4" s="37">
        <v>29984</v>
      </c>
    </row>
    <row r="5" spans="1:16">
      <c r="A5" s="39" t="s">
        <v>42</v>
      </c>
      <c r="B5" s="37">
        <v>4536</v>
      </c>
      <c r="C5" s="37">
        <v>4761</v>
      </c>
      <c r="D5" s="37">
        <v>16476</v>
      </c>
      <c r="E5" s="37">
        <v>4673</v>
      </c>
      <c r="F5" s="37">
        <v>5834</v>
      </c>
      <c r="G5" s="37">
        <v>16473</v>
      </c>
      <c r="H5" s="37">
        <v>17261</v>
      </c>
      <c r="I5" s="37">
        <v>17171.065610000001</v>
      </c>
      <c r="J5" s="37">
        <v>19387.106990000004</v>
      </c>
      <c r="K5" s="37">
        <v>51914.345999999998</v>
      </c>
      <c r="L5" s="37">
        <v>54805</v>
      </c>
      <c r="M5" s="38">
        <v>43852.834440000006</v>
      </c>
      <c r="N5" s="37">
        <v>43068.092770000003</v>
      </c>
      <c r="O5" s="37">
        <v>0</v>
      </c>
      <c r="P5" s="37">
        <v>0</v>
      </c>
    </row>
    <row r="6" spans="1:16">
      <c r="A6" s="36" t="s">
        <v>43</v>
      </c>
      <c r="B6" s="37">
        <v>68478</v>
      </c>
      <c r="C6" s="37">
        <v>78370</v>
      </c>
      <c r="D6" s="37">
        <v>44784</v>
      </c>
      <c r="E6" s="37">
        <v>48619</v>
      </c>
      <c r="F6" s="37">
        <v>45928</v>
      </c>
      <c r="G6" s="37">
        <v>51737</v>
      </c>
      <c r="H6" s="37">
        <v>47811</v>
      </c>
      <c r="I6" s="37">
        <v>58235.131033916812</v>
      </c>
      <c r="J6" s="37">
        <v>19853.265139583164</v>
      </c>
      <c r="K6" s="37">
        <v>15677.441999999999</v>
      </c>
      <c r="L6" s="37">
        <v>27266</v>
      </c>
      <c r="M6" s="38">
        <v>13150.464011549182</v>
      </c>
      <c r="N6" s="37">
        <v>8552.398496493206</v>
      </c>
      <c r="O6" s="37">
        <v>9305.3385187985859</v>
      </c>
      <c r="P6" s="37">
        <v>11183</v>
      </c>
    </row>
    <row r="7" spans="1:16">
      <c r="A7" s="36" t="s">
        <v>44</v>
      </c>
      <c r="B7" s="37">
        <v>267315</v>
      </c>
      <c r="C7" s="37">
        <v>270071</v>
      </c>
      <c r="D7" s="37">
        <v>262672</v>
      </c>
      <c r="E7" s="37">
        <v>191727</v>
      </c>
      <c r="F7" s="37">
        <v>274465</v>
      </c>
      <c r="G7" s="37">
        <v>155931</v>
      </c>
      <c r="H7" s="37">
        <v>202387</v>
      </c>
      <c r="I7" s="37">
        <v>176792.01144301397</v>
      </c>
      <c r="J7" s="37">
        <v>230260.83019259037</v>
      </c>
      <c r="K7" s="37">
        <v>181670.076</v>
      </c>
      <c r="L7" s="37">
        <v>68008</v>
      </c>
      <c r="M7" s="38">
        <v>79155.557772902132</v>
      </c>
      <c r="N7" s="37">
        <v>53295.907431262014</v>
      </c>
      <c r="O7" s="37">
        <v>41953.896501207411</v>
      </c>
      <c r="P7" s="37">
        <v>7543</v>
      </c>
    </row>
    <row r="8" spans="1:16">
      <c r="A8" s="36" t="s">
        <v>45</v>
      </c>
      <c r="B8" s="40">
        <v>8111</v>
      </c>
      <c r="C8" s="40">
        <v>5234</v>
      </c>
      <c r="D8" s="40">
        <v>4600</v>
      </c>
      <c r="E8" s="40">
        <v>3943</v>
      </c>
      <c r="F8" s="40">
        <v>6617</v>
      </c>
      <c r="G8" s="40">
        <v>9133</v>
      </c>
      <c r="H8" s="40">
        <v>4631</v>
      </c>
      <c r="I8" s="40">
        <v>5443.6152499999971</v>
      </c>
      <c r="J8" s="40">
        <v>3993.0712699999999</v>
      </c>
      <c r="K8" s="40">
        <v>2761.1709999999998</v>
      </c>
      <c r="L8" s="40">
        <v>2653</v>
      </c>
      <c r="M8" s="41">
        <v>2624.0097800000003</v>
      </c>
      <c r="N8" s="40">
        <v>1730.0004099999999</v>
      </c>
      <c r="O8" s="40">
        <v>995.86790000000008</v>
      </c>
      <c r="P8" s="40">
        <v>637</v>
      </c>
    </row>
    <row r="9" spans="1:16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  <c r="N9" s="37"/>
      <c r="O9" s="37"/>
      <c r="P9" s="37"/>
    </row>
    <row r="10" spans="1:16">
      <c r="A10" s="35" t="s">
        <v>46</v>
      </c>
      <c r="B10" s="42">
        <f t="shared" ref="B10:C10" si="0">SUM(B4:B8)</f>
        <v>390124</v>
      </c>
      <c r="C10" s="42">
        <f t="shared" si="0"/>
        <v>413975</v>
      </c>
      <c r="D10" s="42">
        <f t="shared" ref="D10:I10" si="1">SUM(D4:D8)</f>
        <v>426286</v>
      </c>
      <c r="E10" s="42">
        <f t="shared" si="1"/>
        <v>313837</v>
      </c>
      <c r="F10" s="42">
        <f t="shared" si="1"/>
        <v>383867</v>
      </c>
      <c r="G10" s="42">
        <f t="shared" si="1"/>
        <v>284167</v>
      </c>
      <c r="H10" s="42">
        <f t="shared" si="1"/>
        <v>336640</v>
      </c>
      <c r="I10" s="42">
        <f t="shared" si="1"/>
        <v>310352.49506693071</v>
      </c>
      <c r="J10" s="42">
        <f t="shared" ref="J10:P10" si="2">SUM(J4:J8)</f>
        <v>335642.43731217354</v>
      </c>
      <c r="K10" s="42">
        <f t="shared" si="2"/>
        <v>315520.08199999994</v>
      </c>
      <c r="L10" s="42">
        <f t="shared" si="2"/>
        <v>183095</v>
      </c>
      <c r="M10" s="43">
        <f t="shared" si="2"/>
        <v>169272.79675445132</v>
      </c>
      <c r="N10" s="42">
        <f t="shared" si="2"/>
        <v>139811.94810775525</v>
      </c>
      <c r="O10" s="42">
        <f t="shared" si="2"/>
        <v>76605.888280006009</v>
      </c>
      <c r="P10" s="42">
        <f t="shared" si="2"/>
        <v>49347</v>
      </c>
    </row>
    <row r="11" spans="1:16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7"/>
      <c r="O11" s="37"/>
      <c r="P11" s="37"/>
    </row>
    <row r="12" spans="1:16">
      <c r="A12" s="36" t="s">
        <v>47</v>
      </c>
      <c r="B12" s="37">
        <v>0</v>
      </c>
      <c r="C12" s="37">
        <v>0</v>
      </c>
      <c r="D12" s="37">
        <v>0</v>
      </c>
      <c r="E12" s="37">
        <v>14993</v>
      </c>
      <c r="F12" s="37">
        <v>25736</v>
      </c>
      <c r="G12" s="37">
        <v>25736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8">
        <v>0</v>
      </c>
      <c r="N12" s="37">
        <v>0</v>
      </c>
      <c r="O12" s="37">
        <v>0</v>
      </c>
      <c r="P12" s="37">
        <v>0</v>
      </c>
    </row>
    <row r="13" spans="1:16">
      <c r="A13" s="44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7"/>
      <c r="O13" s="37"/>
      <c r="P13" s="37"/>
    </row>
    <row r="14" spans="1:16">
      <c r="A14" s="35" t="s">
        <v>48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7"/>
      <c r="P14" s="37"/>
    </row>
    <row r="15" spans="1:16">
      <c r="A15" s="36" t="s">
        <v>49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7"/>
      <c r="O15" s="37"/>
      <c r="P15" s="37"/>
    </row>
    <row r="16" spans="1:16">
      <c r="A16" s="45" t="s">
        <v>50</v>
      </c>
      <c r="B16" s="37">
        <v>256785</v>
      </c>
      <c r="C16" s="37">
        <v>260331</v>
      </c>
      <c r="D16" s="37">
        <v>260200</v>
      </c>
      <c r="E16" s="37">
        <v>334731</v>
      </c>
      <c r="F16" s="37">
        <v>262280</v>
      </c>
      <c r="G16" s="37">
        <v>371959</v>
      </c>
      <c r="H16" s="37">
        <v>253278</v>
      </c>
      <c r="I16" s="37">
        <v>239873.65766</v>
      </c>
      <c r="J16" s="46">
        <v>185712.18</v>
      </c>
      <c r="K16" s="37">
        <v>182962.18</v>
      </c>
      <c r="L16" s="37">
        <v>143418</v>
      </c>
      <c r="M16" s="38">
        <v>200412</v>
      </c>
      <c r="N16" s="37">
        <v>41005</v>
      </c>
      <c r="O16" s="37">
        <v>2510</v>
      </c>
      <c r="P16" s="37">
        <v>0</v>
      </c>
    </row>
    <row r="17" spans="1:16">
      <c r="A17" s="45" t="s">
        <v>51</v>
      </c>
      <c r="B17" s="37">
        <v>59995</v>
      </c>
      <c r="C17" s="37">
        <v>20843</v>
      </c>
      <c r="D17" s="37">
        <v>18249</v>
      </c>
      <c r="E17" s="37">
        <v>28453</v>
      </c>
      <c r="F17" s="37">
        <v>31732</v>
      </c>
      <c r="G17" s="37">
        <v>29508</v>
      </c>
      <c r="H17" s="37">
        <v>52895</v>
      </c>
      <c r="I17" s="37">
        <v>15977.892377822882</v>
      </c>
      <c r="J17" s="37">
        <v>29952.406572530748</v>
      </c>
      <c r="K17" s="37">
        <v>13625.195</v>
      </c>
      <c r="L17" s="37">
        <v>12314</v>
      </c>
      <c r="M17" s="38">
        <v>0</v>
      </c>
      <c r="N17" s="37">
        <v>0</v>
      </c>
      <c r="O17" s="37">
        <v>0</v>
      </c>
      <c r="P17" s="37">
        <v>1165</v>
      </c>
    </row>
    <row r="18" spans="1:16">
      <c r="A18" s="45" t="s">
        <v>52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4250</v>
      </c>
      <c r="H18" s="37">
        <v>4205</v>
      </c>
      <c r="I18" s="37">
        <v>4173.5513599999995</v>
      </c>
      <c r="J18" s="37">
        <v>4111.3910999999998</v>
      </c>
      <c r="K18" s="37">
        <v>4000</v>
      </c>
      <c r="L18" s="37">
        <v>4000</v>
      </c>
      <c r="M18" s="38">
        <v>0</v>
      </c>
      <c r="N18" s="37">
        <v>0</v>
      </c>
      <c r="O18" s="37">
        <v>0</v>
      </c>
      <c r="P18" s="37">
        <v>0</v>
      </c>
    </row>
    <row r="19" spans="1:16">
      <c r="A19" s="45" t="s">
        <v>53</v>
      </c>
      <c r="B19" s="37">
        <v>20942</v>
      </c>
      <c r="C19" s="37">
        <v>20942</v>
      </c>
      <c r="D19" s="37">
        <v>19742</v>
      </c>
      <c r="E19" s="37">
        <v>15619</v>
      </c>
      <c r="F19" s="37">
        <v>12175</v>
      </c>
      <c r="G19" s="37">
        <v>7499</v>
      </c>
      <c r="H19" s="37">
        <v>286</v>
      </c>
      <c r="I19" s="37">
        <v>5493.0909200000024</v>
      </c>
      <c r="J19" s="37">
        <v>6916.3768000000009</v>
      </c>
      <c r="K19" s="37">
        <v>276.99900000000002</v>
      </c>
      <c r="L19" s="37">
        <v>252</v>
      </c>
      <c r="M19" s="38">
        <v>225.61190000000036</v>
      </c>
      <c r="N19" s="37">
        <v>0</v>
      </c>
      <c r="O19" s="37">
        <v>3159.6558100000002</v>
      </c>
      <c r="P19" s="37">
        <v>1346</v>
      </c>
    </row>
    <row r="20" spans="1:16">
      <c r="A20" s="45" t="s">
        <v>54</v>
      </c>
      <c r="B20" s="47">
        <v>404</v>
      </c>
      <c r="C20" s="47">
        <v>404</v>
      </c>
      <c r="D20" s="47">
        <v>404</v>
      </c>
      <c r="E20" s="47">
        <v>404</v>
      </c>
      <c r="F20" s="47">
        <v>404</v>
      </c>
      <c r="G20" s="47">
        <v>404</v>
      </c>
      <c r="H20" s="47">
        <v>404</v>
      </c>
      <c r="I20" s="47">
        <v>404.18038000000001</v>
      </c>
      <c r="J20" s="47">
        <v>404.18038000000001</v>
      </c>
      <c r="K20" s="47">
        <v>404.18</v>
      </c>
      <c r="L20" s="47">
        <v>0</v>
      </c>
      <c r="M20" s="48">
        <v>0</v>
      </c>
      <c r="N20" s="47">
        <v>0</v>
      </c>
      <c r="O20" s="47">
        <v>0</v>
      </c>
      <c r="P20" s="47">
        <v>834</v>
      </c>
    </row>
    <row r="21" spans="1:16">
      <c r="A21" s="45" t="s">
        <v>55</v>
      </c>
      <c r="B21" s="40">
        <v>2880</v>
      </c>
      <c r="C21" s="40">
        <v>2976</v>
      </c>
      <c r="D21" s="40">
        <v>3166</v>
      </c>
      <c r="E21" s="40">
        <v>3356</v>
      </c>
      <c r="F21" s="40">
        <v>3546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</row>
    <row r="22" spans="1:16">
      <c r="A22" s="4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7"/>
      <c r="O22" s="37"/>
      <c r="P22" s="37"/>
    </row>
    <row r="23" spans="1:16">
      <c r="A23" s="49" t="s">
        <v>56</v>
      </c>
      <c r="B23" s="42">
        <f t="shared" ref="B23:C23" si="3">SUM(B16:B21)</f>
        <v>341006</v>
      </c>
      <c r="C23" s="42">
        <f t="shared" si="3"/>
        <v>305496</v>
      </c>
      <c r="D23" s="42">
        <f t="shared" ref="D23:I23" si="4">SUM(D16:D21)</f>
        <v>301761</v>
      </c>
      <c r="E23" s="42">
        <f t="shared" si="4"/>
        <v>382563</v>
      </c>
      <c r="F23" s="42">
        <f t="shared" si="4"/>
        <v>310137</v>
      </c>
      <c r="G23" s="42">
        <f t="shared" si="4"/>
        <v>413620</v>
      </c>
      <c r="H23" s="42">
        <f t="shared" si="4"/>
        <v>311068</v>
      </c>
      <c r="I23" s="42">
        <f t="shared" si="4"/>
        <v>265922.37269782287</v>
      </c>
      <c r="J23" s="42">
        <f t="shared" ref="J23:P23" si="5">SUM(J16:J21)</f>
        <v>227096.53485253075</v>
      </c>
      <c r="K23" s="42">
        <f t="shared" si="5"/>
        <v>201268.554</v>
      </c>
      <c r="L23" s="42">
        <f t="shared" si="5"/>
        <v>159984</v>
      </c>
      <c r="M23" s="43">
        <f t="shared" si="5"/>
        <v>200637.61189999999</v>
      </c>
      <c r="N23" s="42">
        <f t="shared" si="5"/>
        <v>41005</v>
      </c>
      <c r="O23" s="42">
        <f t="shared" si="5"/>
        <v>5669.6558100000002</v>
      </c>
      <c r="P23" s="42">
        <f t="shared" si="5"/>
        <v>3345</v>
      </c>
    </row>
    <row r="24" spans="1:16">
      <c r="A24" s="4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7"/>
      <c r="O24" s="37"/>
      <c r="P24" s="37"/>
    </row>
    <row r="25" spans="1:16">
      <c r="A25" s="36" t="s">
        <v>57</v>
      </c>
      <c r="B25" s="37">
        <v>59060</v>
      </c>
      <c r="C25" s="37">
        <v>58429</v>
      </c>
      <c r="D25" s="37">
        <v>57900</v>
      </c>
      <c r="E25" s="37">
        <v>57649</v>
      </c>
      <c r="F25" s="37">
        <v>50248</v>
      </c>
      <c r="G25" s="37">
        <v>50248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8">
        <v>0</v>
      </c>
      <c r="N25" s="37">
        <v>0</v>
      </c>
      <c r="O25" s="37">
        <v>0</v>
      </c>
      <c r="P25" s="37">
        <v>0</v>
      </c>
    </row>
    <row r="26" spans="1:16">
      <c r="A26" s="36" t="s">
        <v>58</v>
      </c>
      <c r="B26" s="37">
        <v>14</v>
      </c>
      <c r="C26" s="37">
        <v>14</v>
      </c>
      <c r="D26" s="37">
        <v>14</v>
      </c>
      <c r="E26" s="37">
        <v>14</v>
      </c>
      <c r="F26" s="37">
        <v>14</v>
      </c>
      <c r="G26" s="37">
        <v>14</v>
      </c>
      <c r="H26" s="37">
        <v>14</v>
      </c>
      <c r="I26" s="37">
        <v>24.2</v>
      </c>
      <c r="J26" s="37">
        <v>24.2</v>
      </c>
      <c r="K26" s="37">
        <v>19.2</v>
      </c>
      <c r="L26" s="37">
        <v>19</v>
      </c>
      <c r="M26" s="38">
        <v>19.2</v>
      </c>
      <c r="N26" s="37">
        <v>19.2</v>
      </c>
      <c r="O26" s="37">
        <v>19.2</v>
      </c>
      <c r="P26" s="37">
        <v>19</v>
      </c>
    </row>
    <row r="27" spans="1:16">
      <c r="A27" s="36" t="s">
        <v>59</v>
      </c>
      <c r="B27" s="37">
        <v>32059</v>
      </c>
      <c r="C27" s="37">
        <v>32267</v>
      </c>
      <c r="D27" s="37">
        <v>32167</v>
      </c>
      <c r="E27" s="37">
        <v>16145</v>
      </c>
      <c r="F27" s="37">
        <v>15830</v>
      </c>
      <c r="G27" s="37">
        <v>15192</v>
      </c>
      <c r="H27" s="37">
        <v>26198</v>
      </c>
      <c r="I27" s="37">
        <v>29102.717869999997</v>
      </c>
      <c r="J27" s="37">
        <v>28681.89358</v>
      </c>
      <c r="K27" s="37">
        <v>28764.848999999998</v>
      </c>
      <c r="L27" s="37">
        <v>21057</v>
      </c>
      <c r="M27" s="38">
        <v>17824.157669999993</v>
      </c>
      <c r="N27" s="37">
        <v>19087.411700000004</v>
      </c>
      <c r="O27" s="37">
        <v>18702.453920000004</v>
      </c>
      <c r="P27" s="37">
        <v>18168</v>
      </c>
    </row>
    <row r="28" spans="1:16">
      <c r="A28" s="36" t="s">
        <v>60</v>
      </c>
      <c r="B28" s="37">
        <v>3</v>
      </c>
      <c r="C28" s="37">
        <v>3</v>
      </c>
      <c r="D28" s="37">
        <v>0</v>
      </c>
      <c r="E28" s="37">
        <v>128</v>
      </c>
      <c r="F28" s="37">
        <v>128</v>
      </c>
      <c r="G28" s="37">
        <v>79</v>
      </c>
      <c r="H28" s="37">
        <v>39</v>
      </c>
      <c r="I28" s="37">
        <v>39.735250000000001</v>
      </c>
      <c r="J28" s="37">
        <v>40.646430000000009</v>
      </c>
      <c r="K28" s="37">
        <v>41.682000000000002</v>
      </c>
      <c r="L28" s="37">
        <v>43</v>
      </c>
      <c r="M28" s="38">
        <v>42.766169999999995</v>
      </c>
      <c r="N28" s="37">
        <v>42.751949999999994</v>
      </c>
      <c r="O28" s="37">
        <v>43.651730000000001</v>
      </c>
      <c r="P28" s="37">
        <v>43</v>
      </c>
    </row>
    <row r="29" spans="1:16">
      <c r="A29" s="36" t="s">
        <v>61</v>
      </c>
      <c r="B29" s="40">
        <v>1438</v>
      </c>
      <c r="C29" s="40">
        <v>1659</v>
      </c>
      <c r="D29" s="40">
        <v>1929</v>
      </c>
      <c r="E29" s="40">
        <v>611</v>
      </c>
      <c r="F29" s="40">
        <v>762</v>
      </c>
      <c r="G29" s="40">
        <v>1057</v>
      </c>
      <c r="H29" s="40">
        <v>1453</v>
      </c>
      <c r="I29" s="40">
        <v>1793.6017099999999</v>
      </c>
      <c r="J29" s="40">
        <v>1734.1105600000001</v>
      </c>
      <c r="K29" s="40">
        <v>1052.3440000000001</v>
      </c>
      <c r="L29" s="40">
        <v>0</v>
      </c>
      <c r="M29" s="41">
        <v>0</v>
      </c>
      <c r="N29" s="40">
        <v>0</v>
      </c>
      <c r="O29" s="40">
        <v>0</v>
      </c>
      <c r="P29" s="40">
        <v>0</v>
      </c>
    </row>
    <row r="30" spans="1:16">
      <c r="A30" s="49" t="s">
        <v>62</v>
      </c>
      <c r="B30" s="50">
        <f t="shared" ref="B30:C30" si="6">SUM(B23:B29)</f>
        <v>433580</v>
      </c>
      <c r="C30" s="50">
        <f t="shared" si="6"/>
        <v>397868</v>
      </c>
      <c r="D30" s="50">
        <f t="shared" ref="D30:I30" si="7">SUM(D23:D29)</f>
        <v>393771</v>
      </c>
      <c r="E30" s="50">
        <f t="shared" si="7"/>
        <v>457110</v>
      </c>
      <c r="F30" s="50">
        <f t="shared" si="7"/>
        <v>377119</v>
      </c>
      <c r="G30" s="50">
        <f t="shared" si="7"/>
        <v>480210</v>
      </c>
      <c r="H30" s="50">
        <f t="shared" si="7"/>
        <v>338772</v>
      </c>
      <c r="I30" s="50">
        <f t="shared" si="7"/>
        <v>296882.62752782291</v>
      </c>
      <c r="J30" s="50">
        <f t="shared" ref="J30:P30" si="8">SUM(J23:J29)</f>
        <v>257577.38542253076</v>
      </c>
      <c r="K30" s="50">
        <f t="shared" si="8"/>
        <v>231146.62900000002</v>
      </c>
      <c r="L30" s="50">
        <f t="shared" si="8"/>
        <v>181103</v>
      </c>
      <c r="M30" s="51">
        <f t="shared" si="8"/>
        <v>218523.73573999997</v>
      </c>
      <c r="N30" s="50">
        <f t="shared" si="8"/>
        <v>60154.363649999999</v>
      </c>
      <c r="O30" s="50">
        <f t="shared" si="8"/>
        <v>24434.961460000006</v>
      </c>
      <c r="P30" s="50">
        <f t="shared" si="8"/>
        <v>21575</v>
      </c>
    </row>
    <row r="31" spans="1:16">
      <c r="A31" s="3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7"/>
      <c r="P31" s="37"/>
    </row>
    <row r="32" spans="1:16" ht="13.5" thickBot="1">
      <c r="A32" s="49" t="s">
        <v>63</v>
      </c>
      <c r="B32" s="52">
        <f t="shared" ref="B32:C32" si="9">B30+B12+B10</f>
        <v>823704</v>
      </c>
      <c r="C32" s="52">
        <f t="shared" si="9"/>
        <v>811843</v>
      </c>
      <c r="D32" s="52">
        <f t="shared" ref="D32:I32" si="10">D30+D12+D10</f>
        <v>820057</v>
      </c>
      <c r="E32" s="52">
        <f t="shared" si="10"/>
        <v>785940</v>
      </c>
      <c r="F32" s="52">
        <f t="shared" si="10"/>
        <v>786722</v>
      </c>
      <c r="G32" s="52">
        <f t="shared" si="10"/>
        <v>790113</v>
      </c>
      <c r="H32" s="52">
        <f t="shared" si="10"/>
        <v>675412</v>
      </c>
      <c r="I32" s="52">
        <f t="shared" si="10"/>
        <v>607235.12259475363</v>
      </c>
      <c r="J32" s="52">
        <f t="shared" ref="J32:P32" si="11">J30+J12+J10</f>
        <v>593219.82273470424</v>
      </c>
      <c r="K32" s="52">
        <f t="shared" si="11"/>
        <v>546666.71099999989</v>
      </c>
      <c r="L32" s="52">
        <f t="shared" si="11"/>
        <v>364198</v>
      </c>
      <c r="M32" s="53">
        <f t="shared" si="11"/>
        <v>387796.53249445127</v>
      </c>
      <c r="N32" s="52">
        <f t="shared" si="11"/>
        <v>199966.31175775523</v>
      </c>
      <c r="O32" s="52">
        <f t="shared" si="11"/>
        <v>101040.84974000602</v>
      </c>
      <c r="P32" s="52">
        <f t="shared" si="11"/>
        <v>70922</v>
      </c>
    </row>
    <row r="33" spans="1:16" ht="13.5" thickTop="1">
      <c r="A33" s="3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>
      <c r="A34" s="3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7"/>
      <c r="O34" s="37"/>
      <c r="P34" s="37"/>
    </row>
    <row r="35" spans="1:16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N35" s="54"/>
      <c r="O35" s="54"/>
      <c r="P35" s="54"/>
    </row>
    <row r="37" spans="1:16">
      <c r="J37" s="54"/>
    </row>
    <row r="38" spans="1:16">
      <c r="I38" s="54"/>
      <c r="J38" s="54"/>
    </row>
    <row r="39" spans="1:16">
      <c r="I39" s="54"/>
    </row>
    <row r="40" spans="1:16">
      <c r="I40" s="54"/>
      <c r="J40" s="54"/>
    </row>
    <row r="41" spans="1:16">
      <c r="J41" s="5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7E5A-BC1B-4060-930B-81D8ED02A3B3}">
  <sheetPr>
    <tabColor rgb="FF92D050"/>
  </sheetPr>
  <dimension ref="A1:P39"/>
  <sheetViews>
    <sheetView showGridLines="0" zoomScaleNormal="100" workbookViewId="0">
      <pane xSplit="1" ySplit="1" topLeftCell="B2" activePane="bottomRight" state="frozen"/>
      <selection activeCell="B9" sqref="B9"/>
      <selection pane="topRight" activeCell="B9" sqref="B9"/>
      <selection pane="bottomLeft" activeCell="B9" sqref="B9"/>
      <selection pane="bottomRight" activeCell="D15" sqref="D15"/>
    </sheetView>
  </sheetViews>
  <sheetFormatPr defaultColWidth="9.140625" defaultRowHeight="12.75"/>
  <cols>
    <col min="1" max="1" width="43.140625" style="1" bestFit="1" customWidth="1"/>
    <col min="2" max="12" width="8.5703125" style="1" bestFit="1" customWidth="1"/>
    <col min="13" max="13" width="8.5703125" style="2" bestFit="1" customWidth="1"/>
    <col min="14" max="15" width="8.5703125" style="1" bestFit="1" customWidth="1"/>
    <col min="16" max="16" width="7.5703125" style="1" bestFit="1" customWidth="1"/>
    <col min="17" max="16384" width="9.140625" style="1"/>
  </cols>
  <sheetData>
    <row r="1" spans="1:16" s="33" customFormat="1">
      <c r="A1" s="31" t="s">
        <v>64</v>
      </c>
      <c r="B1" s="32" t="s">
        <v>181</v>
      </c>
      <c r="C1" s="32" t="s">
        <v>180</v>
      </c>
      <c r="D1" s="32" t="s">
        <v>36</v>
      </c>
      <c r="E1" s="32" t="s">
        <v>31</v>
      </c>
      <c r="F1" s="32" t="s">
        <v>30</v>
      </c>
      <c r="G1" s="32" t="s">
        <v>1</v>
      </c>
      <c r="H1" s="32">
        <v>2019</v>
      </c>
      <c r="I1" s="32" t="s">
        <v>13</v>
      </c>
      <c r="J1" s="32" t="s">
        <v>14</v>
      </c>
      <c r="K1" s="32" t="s">
        <v>15</v>
      </c>
      <c r="L1" s="32">
        <v>2018</v>
      </c>
      <c r="M1" s="32" t="s">
        <v>18</v>
      </c>
      <c r="N1" s="32" t="s">
        <v>19</v>
      </c>
      <c r="O1" s="32" t="s">
        <v>20</v>
      </c>
      <c r="P1" s="32">
        <v>2017</v>
      </c>
    </row>
    <row r="2" spans="1:16">
      <c r="A2" s="4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7"/>
      <c r="O2" s="37"/>
      <c r="P2" s="37"/>
    </row>
    <row r="3" spans="1:16">
      <c r="A3" s="49" t="s">
        <v>65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7"/>
      <c r="O3" s="37"/>
      <c r="P3" s="37"/>
    </row>
    <row r="4" spans="1:16">
      <c r="A4" s="56" t="s">
        <v>66</v>
      </c>
      <c r="B4" s="37">
        <v>46950</v>
      </c>
      <c r="C4" s="37">
        <v>34040</v>
      </c>
      <c r="D4" s="37">
        <v>28368</v>
      </c>
      <c r="E4" s="37">
        <v>26039</v>
      </c>
      <c r="F4" s="37">
        <v>28089</v>
      </c>
      <c r="G4" s="37">
        <v>24462</v>
      </c>
      <c r="H4" s="37">
        <v>21230</v>
      </c>
      <c r="I4" s="37">
        <v>46934.75288</v>
      </c>
      <c r="J4" s="37">
        <v>40541.225910000016</v>
      </c>
      <c r="K4" s="37">
        <v>31142.756000000001</v>
      </c>
      <c r="L4" s="37">
        <v>31771</v>
      </c>
      <c r="M4" s="38">
        <v>36363.284789999998</v>
      </c>
      <c r="N4" s="37">
        <v>16468.34664</v>
      </c>
      <c r="O4" s="37">
        <v>19751.287130000004</v>
      </c>
      <c r="P4" s="37">
        <v>1710</v>
      </c>
    </row>
    <row r="5" spans="1:16">
      <c r="A5" s="57" t="s">
        <v>67</v>
      </c>
      <c r="B5" s="37">
        <v>123590</v>
      </c>
      <c r="C5" s="37">
        <v>174260</v>
      </c>
      <c r="D5" s="37">
        <v>208031</v>
      </c>
      <c r="E5" s="37">
        <v>133431</v>
      </c>
      <c r="F5" s="37">
        <v>119237</v>
      </c>
      <c r="G5" s="37">
        <v>79061</v>
      </c>
      <c r="H5" s="37">
        <v>81947</v>
      </c>
      <c r="I5" s="37">
        <v>60732.740620000011</v>
      </c>
      <c r="J5" s="37">
        <v>48183.809190000007</v>
      </c>
      <c r="K5" s="37">
        <v>9265.6740000000009</v>
      </c>
      <c r="L5" s="37">
        <v>11168</v>
      </c>
      <c r="M5" s="38">
        <v>288.32087000000001</v>
      </c>
      <c r="N5" s="37">
        <v>2108.14122</v>
      </c>
      <c r="O5" s="37">
        <v>6202.2378900000003</v>
      </c>
      <c r="P5" s="37">
        <v>2098</v>
      </c>
    </row>
    <row r="6" spans="1:16">
      <c r="A6" s="56" t="s">
        <v>68</v>
      </c>
      <c r="B6" s="37">
        <v>6055</v>
      </c>
      <c r="C6" s="37">
        <v>5471</v>
      </c>
      <c r="D6" s="37">
        <v>4026</v>
      </c>
      <c r="E6" s="37">
        <v>6114</v>
      </c>
      <c r="F6" s="37">
        <v>5468</v>
      </c>
      <c r="G6" s="37">
        <v>2624</v>
      </c>
      <c r="H6" s="37">
        <v>2590</v>
      </c>
      <c r="I6" s="37">
        <v>3111.001130000001</v>
      </c>
      <c r="J6" s="37">
        <v>2320.9247999999998</v>
      </c>
      <c r="K6" s="37">
        <v>1849.9069999999999</v>
      </c>
      <c r="L6" s="37">
        <v>1663</v>
      </c>
      <c r="M6" s="38">
        <v>1925.8812499999999</v>
      </c>
      <c r="N6" s="37">
        <v>1692.2529000000002</v>
      </c>
      <c r="O6" s="37">
        <v>1208.76863</v>
      </c>
      <c r="P6" s="37">
        <v>1139</v>
      </c>
    </row>
    <row r="7" spans="1:16">
      <c r="A7" s="56" t="s">
        <v>69</v>
      </c>
      <c r="B7" s="37">
        <v>16478</v>
      </c>
      <c r="C7" s="37">
        <v>15021</v>
      </c>
      <c r="D7" s="37">
        <v>20180</v>
      </c>
      <c r="E7" s="37">
        <v>18935</v>
      </c>
      <c r="F7" s="37">
        <v>16950</v>
      </c>
      <c r="G7" s="37">
        <v>13221</v>
      </c>
      <c r="H7" s="37">
        <v>11639</v>
      </c>
      <c r="I7" s="37">
        <v>5235.0065366682884</v>
      </c>
      <c r="J7" s="37">
        <v>5493.1036510101676</v>
      </c>
      <c r="K7" s="37">
        <v>5532.1289999999999</v>
      </c>
      <c r="L7" s="37">
        <v>4116</v>
      </c>
      <c r="M7" s="38">
        <v>2339.3399602746058</v>
      </c>
      <c r="N7" s="37">
        <v>2465.7710517315927</v>
      </c>
      <c r="O7" s="37">
        <v>2151.2795251721132</v>
      </c>
      <c r="P7" s="37">
        <v>760</v>
      </c>
    </row>
    <row r="8" spans="1:16">
      <c r="A8" s="56" t="s">
        <v>70</v>
      </c>
      <c r="B8" s="116">
        <v>0</v>
      </c>
      <c r="C8" s="116">
        <v>0</v>
      </c>
      <c r="D8" s="116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7989.942</v>
      </c>
      <c r="L8" s="37">
        <v>12663</v>
      </c>
      <c r="M8" s="38">
        <v>0</v>
      </c>
      <c r="N8" s="37">
        <v>0</v>
      </c>
      <c r="O8" s="37">
        <v>0</v>
      </c>
      <c r="P8" s="37">
        <v>0</v>
      </c>
    </row>
    <row r="9" spans="1:16">
      <c r="A9" s="56" t="s">
        <v>71</v>
      </c>
      <c r="B9" s="2">
        <v>22599</v>
      </c>
      <c r="C9" s="37">
        <v>8535</v>
      </c>
      <c r="D9" s="37">
        <v>7826</v>
      </c>
      <c r="E9" s="37">
        <v>9995</v>
      </c>
      <c r="F9" s="37">
        <v>13340</v>
      </c>
      <c r="G9" s="37">
        <v>8918</v>
      </c>
      <c r="H9" s="37">
        <v>11221</v>
      </c>
      <c r="I9" s="37">
        <v>9219.7604154318906</v>
      </c>
      <c r="J9" s="37">
        <v>38449.040249999998</v>
      </c>
      <c r="K9" s="37">
        <v>25825.682000000001</v>
      </c>
      <c r="L9" s="37">
        <v>19014</v>
      </c>
      <c r="M9" s="38">
        <v>38020.549419999996</v>
      </c>
      <c r="N9" s="37">
        <v>31380.253080000002</v>
      </c>
      <c r="O9" s="37">
        <v>17393.060960000003</v>
      </c>
      <c r="P9" s="37">
        <v>0</v>
      </c>
    </row>
    <row r="10" spans="1:16">
      <c r="A10" s="56" t="s">
        <v>72</v>
      </c>
      <c r="B10" s="37">
        <v>64205</v>
      </c>
      <c r="C10" s="37">
        <v>66004</v>
      </c>
      <c r="D10" s="37">
        <v>67578</v>
      </c>
      <c r="E10" s="37">
        <v>9047</v>
      </c>
      <c r="F10" s="37">
        <v>57342</v>
      </c>
      <c r="G10" s="37">
        <v>5817</v>
      </c>
      <c r="H10" s="37">
        <v>21779</v>
      </c>
      <c r="I10" s="37">
        <v>21697.204850000002</v>
      </c>
      <c r="J10" s="37">
        <v>34225.416850000001</v>
      </c>
      <c r="K10" s="37">
        <v>35429.802000000003</v>
      </c>
      <c r="L10" s="37">
        <v>17280</v>
      </c>
      <c r="M10" s="38">
        <v>0.20257000000003725</v>
      </c>
      <c r="N10" s="37">
        <v>0.40723000000000004</v>
      </c>
      <c r="O10" s="37">
        <v>1.0741400000000001</v>
      </c>
      <c r="P10" s="37">
        <v>6510</v>
      </c>
    </row>
    <row r="11" spans="1:16">
      <c r="A11" s="56" t="s">
        <v>73</v>
      </c>
      <c r="B11" s="37">
        <v>4174</v>
      </c>
      <c r="C11" s="37">
        <v>4619</v>
      </c>
      <c r="D11" s="37">
        <v>4351</v>
      </c>
      <c r="E11" s="37">
        <v>2858</v>
      </c>
      <c r="F11" s="37">
        <v>3158</v>
      </c>
      <c r="G11" s="37">
        <v>3598</v>
      </c>
      <c r="H11" s="37">
        <v>3701</v>
      </c>
      <c r="I11" s="37">
        <v>3146.2228899999996</v>
      </c>
      <c r="J11" s="37">
        <v>4010.5117599999999</v>
      </c>
      <c r="K11" s="37">
        <v>2500.64</v>
      </c>
      <c r="L11" s="37">
        <v>3192</v>
      </c>
      <c r="M11" s="38">
        <v>2597.3405699999998</v>
      </c>
      <c r="N11" s="37">
        <v>2074.90317</v>
      </c>
      <c r="O11" s="37">
        <v>2465.2959100000003</v>
      </c>
      <c r="P11" s="37">
        <v>1399.2</v>
      </c>
    </row>
    <row r="12" spans="1:16">
      <c r="A12" s="56" t="s">
        <v>74</v>
      </c>
      <c r="B12" s="40">
        <v>81</v>
      </c>
      <c r="C12" s="40">
        <v>223</v>
      </c>
      <c r="D12" s="40">
        <v>73</v>
      </c>
      <c r="E12" s="40">
        <v>24</v>
      </c>
      <c r="F12" s="40">
        <v>159</v>
      </c>
      <c r="G12" s="40">
        <v>174</v>
      </c>
      <c r="H12" s="40">
        <v>565</v>
      </c>
      <c r="I12" s="40">
        <v>14.97799</v>
      </c>
      <c r="J12" s="40">
        <v>367.12718000000012</v>
      </c>
      <c r="K12" s="40">
        <v>1116.5640000000001</v>
      </c>
      <c r="L12" s="40">
        <v>1412</v>
      </c>
      <c r="M12" s="41">
        <v>164.72492000000003</v>
      </c>
      <c r="N12" s="40">
        <v>206.63608000000002</v>
      </c>
      <c r="O12" s="40">
        <v>201.63852000000003</v>
      </c>
      <c r="P12" s="40">
        <v>31</v>
      </c>
    </row>
    <row r="13" spans="1:16">
      <c r="A13" s="49" t="s">
        <v>75</v>
      </c>
      <c r="B13" s="50">
        <f>SUM(B4:B12)</f>
        <v>284132</v>
      </c>
      <c r="C13" s="50">
        <f>SUM(C4:C12)</f>
        <v>308173</v>
      </c>
      <c r="D13" s="50">
        <f t="shared" ref="D13:I13" si="0">SUM(D4:D12)</f>
        <v>340433</v>
      </c>
      <c r="E13" s="50">
        <f t="shared" si="0"/>
        <v>206443</v>
      </c>
      <c r="F13" s="50">
        <f t="shared" si="0"/>
        <v>243743</v>
      </c>
      <c r="G13" s="50">
        <f t="shared" si="0"/>
        <v>137875</v>
      </c>
      <c r="H13" s="50">
        <f t="shared" si="0"/>
        <v>154672</v>
      </c>
      <c r="I13" s="50">
        <f t="shared" si="0"/>
        <v>150091.66731210021</v>
      </c>
      <c r="J13" s="50">
        <f t="shared" ref="J13:P13" si="1">SUM(J4:J12)</f>
        <v>173591.15959101019</v>
      </c>
      <c r="K13" s="50">
        <f t="shared" si="1"/>
        <v>120653.09599999999</v>
      </c>
      <c r="L13" s="50">
        <f t="shared" si="1"/>
        <v>102279</v>
      </c>
      <c r="M13" s="51">
        <f t="shared" si="1"/>
        <v>81699.644350274597</v>
      </c>
      <c r="N13" s="50">
        <f t="shared" si="1"/>
        <v>56396.711371731588</v>
      </c>
      <c r="O13" s="50">
        <f t="shared" si="1"/>
        <v>49374.642705172118</v>
      </c>
      <c r="P13" s="50">
        <f t="shared" si="1"/>
        <v>13647.2</v>
      </c>
    </row>
    <row r="14" spans="1:16">
      <c r="A14" s="4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37"/>
      <c r="O14" s="37"/>
      <c r="P14" s="37"/>
    </row>
    <row r="15" spans="1:16">
      <c r="A15" s="56" t="s">
        <v>76</v>
      </c>
      <c r="B15" s="37">
        <v>0</v>
      </c>
      <c r="C15" s="37">
        <v>0</v>
      </c>
      <c r="D15" s="37">
        <v>0</v>
      </c>
      <c r="E15" s="37">
        <v>2333</v>
      </c>
      <c r="F15" s="37">
        <v>9838</v>
      </c>
      <c r="G15" s="37">
        <v>10344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8">
        <v>0</v>
      </c>
      <c r="N15" s="37">
        <v>0</v>
      </c>
      <c r="O15" s="37">
        <v>0</v>
      </c>
      <c r="P15" s="37">
        <v>0</v>
      </c>
    </row>
    <row r="16" spans="1:16">
      <c r="A16" s="34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7"/>
      <c r="O16" s="37"/>
      <c r="P16" s="37"/>
    </row>
    <row r="17" spans="1:16">
      <c r="A17" s="49" t="s">
        <v>77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7"/>
      <c r="O17" s="37"/>
      <c r="P17" s="37"/>
    </row>
    <row r="18" spans="1:16">
      <c r="A18" s="56" t="s">
        <v>78</v>
      </c>
      <c r="B18" s="37">
        <v>376600</v>
      </c>
      <c r="C18" s="37">
        <v>378973</v>
      </c>
      <c r="D18" s="37">
        <v>365843</v>
      </c>
      <c r="E18" s="37">
        <v>417905</v>
      </c>
      <c r="F18" s="37">
        <v>375093</v>
      </c>
      <c r="G18" s="37">
        <v>420653</v>
      </c>
      <c r="H18" s="37">
        <v>331479</v>
      </c>
      <c r="I18" s="37">
        <v>300878.19905</v>
      </c>
      <c r="J18" s="46">
        <v>257531.82203000001</v>
      </c>
      <c r="K18" s="37">
        <v>232227.27100000001</v>
      </c>
      <c r="L18" s="37">
        <v>134023</v>
      </c>
      <c r="M18" s="38">
        <v>192352</v>
      </c>
      <c r="N18" s="37">
        <v>36821.159200000002</v>
      </c>
      <c r="O18" s="37">
        <v>1835.9276500000001</v>
      </c>
      <c r="P18" s="37">
        <v>6404</v>
      </c>
    </row>
    <row r="19" spans="1:16">
      <c r="A19" s="56" t="s">
        <v>79</v>
      </c>
      <c r="B19" s="37">
        <v>0</v>
      </c>
      <c r="C19" s="37">
        <v>12367</v>
      </c>
      <c r="D19" s="37">
        <v>11391</v>
      </c>
      <c r="E19" s="37">
        <v>20994</v>
      </c>
      <c r="F19" s="37">
        <v>21203</v>
      </c>
      <c r="G19" s="37">
        <v>23694</v>
      </c>
      <c r="H19" s="37">
        <v>22180</v>
      </c>
      <c r="I19" s="37">
        <v>2209.2809045681101</v>
      </c>
      <c r="J19" s="37">
        <v>26820</v>
      </c>
      <c r="K19" s="37">
        <v>22620</v>
      </c>
      <c r="L19" s="37">
        <v>10782</v>
      </c>
      <c r="M19" s="38">
        <v>8060</v>
      </c>
      <c r="N19" s="37">
        <v>4210</v>
      </c>
      <c r="O19" s="37">
        <v>710</v>
      </c>
      <c r="P19" s="37">
        <v>2688</v>
      </c>
    </row>
    <row r="20" spans="1:16">
      <c r="A20" s="56" t="s">
        <v>80</v>
      </c>
      <c r="B20" s="37">
        <v>89652</v>
      </c>
      <c r="C20" s="37">
        <v>44940</v>
      </c>
      <c r="D20" s="37">
        <v>46628</v>
      </c>
      <c r="E20" s="37">
        <v>53865</v>
      </c>
      <c r="F20" s="37">
        <v>55795</v>
      </c>
      <c r="G20" s="37">
        <v>101421</v>
      </c>
      <c r="H20" s="37">
        <v>110880</v>
      </c>
      <c r="I20" s="37">
        <v>107274.00937999999</v>
      </c>
      <c r="J20" s="37">
        <v>100610.86782</v>
      </c>
      <c r="K20" s="37">
        <v>136160.12100000001</v>
      </c>
      <c r="L20" s="37">
        <v>89944</v>
      </c>
      <c r="M20" s="38">
        <v>85384.777729999987</v>
      </c>
      <c r="N20" s="37">
        <v>87645.79671000001</v>
      </c>
      <c r="O20" s="37">
        <v>33590.735690000009</v>
      </c>
      <c r="P20" s="37">
        <v>36364</v>
      </c>
    </row>
    <row r="21" spans="1:16">
      <c r="A21" s="56" t="s">
        <v>190</v>
      </c>
      <c r="B21" s="37">
        <v>11871</v>
      </c>
      <c r="C21" s="37">
        <v>7966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8">
        <v>0</v>
      </c>
      <c r="N21" s="37">
        <v>0</v>
      </c>
      <c r="O21" s="37">
        <v>0</v>
      </c>
      <c r="P21" s="37">
        <v>0</v>
      </c>
    </row>
    <row r="22" spans="1:16">
      <c r="A22" s="56" t="s">
        <v>81</v>
      </c>
      <c r="B22" s="37">
        <v>6175</v>
      </c>
      <c r="C22" s="37">
        <v>4603</v>
      </c>
      <c r="D22" s="37">
        <v>4483</v>
      </c>
      <c r="E22" s="37">
        <v>2804</v>
      </c>
      <c r="F22" s="37">
        <v>2595</v>
      </c>
      <c r="G22" s="37">
        <v>2284</v>
      </c>
      <c r="H22" s="37">
        <v>1685</v>
      </c>
      <c r="I22" s="37">
        <v>2034.4020800000001</v>
      </c>
      <c r="J22" s="37">
        <v>2406.7018499999999</v>
      </c>
      <c r="K22" s="37">
        <v>2063.3429999999998</v>
      </c>
      <c r="L22" s="37">
        <v>1705</v>
      </c>
      <c r="M22" s="38">
        <v>2676.2649999999999</v>
      </c>
      <c r="N22" s="37">
        <v>1864.6479999999999</v>
      </c>
      <c r="O22" s="37">
        <v>1342.444</v>
      </c>
      <c r="P22" s="37">
        <v>1144.8</v>
      </c>
    </row>
    <row r="23" spans="1:16">
      <c r="A23" s="56" t="s">
        <v>82</v>
      </c>
      <c r="B23" s="37">
        <v>1472</v>
      </c>
      <c r="C23" s="37">
        <v>2114</v>
      </c>
      <c r="D23" s="37">
        <v>3342</v>
      </c>
      <c r="E23" s="37">
        <v>3160</v>
      </c>
      <c r="F23" s="37">
        <v>3619</v>
      </c>
      <c r="G23" s="37">
        <v>2878</v>
      </c>
      <c r="H23" s="37">
        <v>2733</v>
      </c>
      <c r="I23" s="37">
        <v>1537.2961800000003</v>
      </c>
      <c r="J23" s="37">
        <v>1026.76124</v>
      </c>
      <c r="K23" s="37">
        <v>1026.761</v>
      </c>
      <c r="L23" s="37">
        <v>963</v>
      </c>
      <c r="M23" s="38">
        <v>962.78413999999998</v>
      </c>
      <c r="N23" s="37">
        <v>962.78413999999998</v>
      </c>
      <c r="O23" s="37">
        <v>2164.8304399999997</v>
      </c>
      <c r="P23" s="37">
        <v>2165</v>
      </c>
    </row>
    <row r="24" spans="1:16">
      <c r="A24" s="56" t="s">
        <v>83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2.0954757928848265E-12</v>
      </c>
      <c r="J24" s="40">
        <v>1804.767919999998</v>
      </c>
      <c r="K24" s="40">
        <v>802.11900000000003</v>
      </c>
      <c r="L24" s="40">
        <v>0</v>
      </c>
      <c r="M24" s="41">
        <v>654.16641000000004</v>
      </c>
      <c r="N24" s="40">
        <v>523.88490000000002</v>
      </c>
      <c r="O24" s="40">
        <v>0</v>
      </c>
      <c r="P24" s="40">
        <v>0</v>
      </c>
    </row>
    <row r="25" spans="1:16">
      <c r="A25" s="49" t="s">
        <v>84</v>
      </c>
      <c r="B25" s="50">
        <f t="shared" ref="B25" si="2">SUM(B18:B24)</f>
        <v>485770</v>
      </c>
      <c r="C25" s="50">
        <f t="shared" ref="C25:P25" si="3">SUM(C18:C24)</f>
        <v>450963</v>
      </c>
      <c r="D25" s="50">
        <f t="shared" si="3"/>
        <v>431687</v>
      </c>
      <c r="E25" s="50">
        <f t="shared" si="3"/>
        <v>498728</v>
      </c>
      <c r="F25" s="50">
        <f t="shared" si="3"/>
        <v>458305</v>
      </c>
      <c r="G25" s="50">
        <f t="shared" si="3"/>
        <v>550930</v>
      </c>
      <c r="H25" s="50">
        <f t="shared" si="3"/>
        <v>468957</v>
      </c>
      <c r="I25" s="50">
        <f t="shared" si="3"/>
        <v>413933.18759456812</v>
      </c>
      <c r="J25" s="50">
        <f t="shared" si="3"/>
        <v>390200.92086000007</v>
      </c>
      <c r="K25" s="50">
        <f t="shared" si="3"/>
        <v>394899.61499999999</v>
      </c>
      <c r="L25" s="50">
        <f t="shared" si="3"/>
        <v>237417</v>
      </c>
      <c r="M25" s="51">
        <f t="shared" si="3"/>
        <v>290089.99328</v>
      </c>
      <c r="N25" s="50">
        <f t="shared" si="3"/>
        <v>132028.27295000001</v>
      </c>
      <c r="O25" s="50">
        <f t="shared" si="3"/>
        <v>39643.937780000007</v>
      </c>
      <c r="P25" s="50">
        <f t="shared" si="3"/>
        <v>48765.8</v>
      </c>
    </row>
    <row r="26" spans="1:16">
      <c r="A26" s="3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7"/>
      <c r="O26" s="37"/>
      <c r="P26" s="37"/>
    </row>
    <row r="27" spans="1:16">
      <c r="A27" s="49" t="s">
        <v>85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7"/>
      <c r="P27" s="37"/>
    </row>
    <row r="28" spans="1:16">
      <c r="A28" s="56" t="s">
        <v>86</v>
      </c>
      <c r="B28" s="37">
        <v>87196</v>
      </c>
      <c r="C28" s="37">
        <v>87196</v>
      </c>
      <c r="D28" s="37">
        <v>87196</v>
      </c>
      <c r="E28" s="37">
        <v>87196</v>
      </c>
      <c r="F28" s="37">
        <v>87196</v>
      </c>
      <c r="G28" s="37">
        <v>86834</v>
      </c>
      <c r="H28" s="37">
        <v>50973</v>
      </c>
      <c r="I28" s="37">
        <v>51293.920279999998</v>
      </c>
      <c r="J28" s="37">
        <v>51293.920279999998</v>
      </c>
      <c r="K28" s="37">
        <v>20389</v>
      </c>
      <c r="L28" s="37">
        <v>20389</v>
      </c>
      <c r="M28" s="38">
        <v>20061.181</v>
      </c>
      <c r="N28" s="37">
        <v>20061.181</v>
      </c>
      <c r="O28" s="37">
        <v>20000</v>
      </c>
      <c r="P28" s="37">
        <v>12371</v>
      </c>
    </row>
    <row r="29" spans="1:16">
      <c r="A29" s="56" t="s">
        <v>87</v>
      </c>
      <c r="B29" s="37">
        <v>776</v>
      </c>
      <c r="C29" s="37">
        <v>776</v>
      </c>
      <c r="D29" s="37">
        <v>776</v>
      </c>
      <c r="E29" s="37">
        <v>776</v>
      </c>
      <c r="F29" s="37">
        <v>776</v>
      </c>
      <c r="G29" s="37">
        <v>4803</v>
      </c>
      <c r="H29" s="37">
        <v>4803</v>
      </c>
      <c r="I29" s="37">
        <v>4803</v>
      </c>
      <c r="J29" s="37">
        <v>4803</v>
      </c>
      <c r="K29" s="37">
        <v>4803</v>
      </c>
      <c r="L29" s="37">
        <v>4803</v>
      </c>
      <c r="M29" s="38">
        <v>-24320.951280000001</v>
      </c>
      <c r="N29" s="37">
        <v>-20743.386160000002</v>
      </c>
      <c r="O29" s="37">
        <v>-15981.65681</v>
      </c>
      <c r="P29" s="37">
        <v>1784</v>
      </c>
    </row>
    <row r="30" spans="1:16">
      <c r="A30" s="56" t="s">
        <v>88</v>
      </c>
      <c r="B30" s="40">
        <v>-34170</v>
      </c>
      <c r="C30" s="40">
        <v>-35265</v>
      </c>
      <c r="D30" s="40">
        <v>-40035</v>
      </c>
      <c r="E30" s="40">
        <v>-9537</v>
      </c>
      <c r="F30" s="40">
        <v>-13150</v>
      </c>
      <c r="G30" s="40">
        <v>-702</v>
      </c>
      <c r="H30" s="40">
        <v>-4027</v>
      </c>
      <c r="I30" s="40">
        <v>-12875</v>
      </c>
      <c r="J30" s="40">
        <v>-26661</v>
      </c>
      <c r="K30" s="40">
        <v>5928</v>
      </c>
      <c r="L30" s="40">
        <v>-692</v>
      </c>
      <c r="M30" s="41">
        <v>20266.665144176677</v>
      </c>
      <c r="N30" s="40">
        <v>12223.532596023597</v>
      </c>
      <c r="O30" s="40">
        <v>8003.9260648338386</v>
      </c>
      <c r="P30" s="40">
        <v>-5646</v>
      </c>
    </row>
    <row r="31" spans="1:16">
      <c r="A31" s="5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7"/>
      <c r="P31" s="37"/>
    </row>
    <row r="32" spans="1:16">
      <c r="A32" s="58" t="s">
        <v>89</v>
      </c>
      <c r="B32" s="50">
        <f t="shared" ref="B32:C32" si="4">SUM(B28:B30)</f>
        <v>53802</v>
      </c>
      <c r="C32" s="50">
        <f t="shared" si="4"/>
        <v>52707</v>
      </c>
      <c r="D32" s="50">
        <f t="shared" ref="D32:I32" si="5">SUM(D28:D30)</f>
        <v>47937</v>
      </c>
      <c r="E32" s="50">
        <f t="shared" si="5"/>
        <v>78435</v>
      </c>
      <c r="F32" s="50">
        <f t="shared" si="5"/>
        <v>74822</v>
      </c>
      <c r="G32" s="50">
        <f t="shared" si="5"/>
        <v>90935</v>
      </c>
      <c r="H32" s="50">
        <f t="shared" si="5"/>
        <v>51749</v>
      </c>
      <c r="I32" s="50">
        <f t="shared" si="5"/>
        <v>43221.920279999998</v>
      </c>
      <c r="J32" s="50">
        <f t="shared" ref="J32:P32" si="6">SUM(J28:J30)</f>
        <v>29435.920279999998</v>
      </c>
      <c r="K32" s="50">
        <f t="shared" si="6"/>
        <v>31120</v>
      </c>
      <c r="L32" s="50">
        <f t="shared" si="6"/>
        <v>24500</v>
      </c>
      <c r="M32" s="51">
        <f t="shared" si="6"/>
        <v>16006.894864176676</v>
      </c>
      <c r="N32" s="50">
        <f t="shared" si="6"/>
        <v>11541.327436023596</v>
      </c>
      <c r="O32" s="50">
        <f t="shared" si="6"/>
        <v>12022.269254833838</v>
      </c>
      <c r="P32" s="50">
        <f t="shared" si="6"/>
        <v>8509</v>
      </c>
    </row>
    <row r="33" spans="1:16">
      <c r="A33" s="5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  <c r="N33" s="37"/>
      <c r="O33" s="37"/>
      <c r="P33" s="37"/>
    </row>
    <row r="34" spans="1:16">
      <c r="A34" s="56" t="s">
        <v>90</v>
      </c>
      <c r="B34" s="40">
        <v>0</v>
      </c>
      <c r="C34" s="40">
        <v>0</v>
      </c>
      <c r="D34" s="40">
        <v>0</v>
      </c>
      <c r="E34" s="40">
        <v>1</v>
      </c>
      <c r="F34" s="40">
        <v>14</v>
      </c>
      <c r="G34" s="40">
        <v>29</v>
      </c>
      <c r="H34" s="40">
        <v>34</v>
      </c>
      <c r="I34" s="40">
        <v>-11.652591914753399</v>
      </c>
      <c r="J34" s="40">
        <v>-8.1779963058652392</v>
      </c>
      <c r="K34" s="40">
        <v>-6</v>
      </c>
      <c r="L34" s="40">
        <v>2</v>
      </c>
      <c r="M34" s="41">
        <v>0</v>
      </c>
      <c r="N34" s="40">
        <v>0</v>
      </c>
      <c r="O34" s="40">
        <v>0</v>
      </c>
      <c r="P34" s="40">
        <v>0</v>
      </c>
    </row>
    <row r="35" spans="1:16">
      <c r="A35" s="34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7"/>
      <c r="O35" s="37"/>
      <c r="P35" s="37"/>
    </row>
    <row r="36" spans="1:16">
      <c r="A36" s="58" t="s">
        <v>91</v>
      </c>
      <c r="B36" s="37">
        <f t="shared" ref="B36:C36" si="7">B32+B34</f>
        <v>53802</v>
      </c>
      <c r="C36" s="37">
        <f t="shared" si="7"/>
        <v>52707</v>
      </c>
      <c r="D36" s="37">
        <f t="shared" ref="D36:I36" si="8">D32+D34</f>
        <v>47937</v>
      </c>
      <c r="E36" s="37">
        <f t="shared" si="8"/>
        <v>78436</v>
      </c>
      <c r="F36" s="37">
        <f t="shared" si="8"/>
        <v>74836</v>
      </c>
      <c r="G36" s="37">
        <f t="shared" si="8"/>
        <v>90964</v>
      </c>
      <c r="H36" s="37">
        <f t="shared" si="8"/>
        <v>51783</v>
      </c>
      <c r="I36" s="37">
        <f t="shared" si="8"/>
        <v>43210.267688085245</v>
      </c>
      <c r="J36" s="37">
        <f t="shared" ref="J36:P36" si="9">J32+J34</f>
        <v>29427.742283694133</v>
      </c>
      <c r="K36" s="37">
        <f t="shared" si="9"/>
        <v>31114</v>
      </c>
      <c r="L36" s="37">
        <f t="shared" si="9"/>
        <v>24502</v>
      </c>
      <c r="M36" s="38">
        <f t="shared" si="9"/>
        <v>16006.894864176676</v>
      </c>
      <c r="N36" s="37">
        <f t="shared" si="9"/>
        <v>11541.327436023596</v>
      </c>
      <c r="O36" s="37">
        <f t="shared" si="9"/>
        <v>12022.269254833838</v>
      </c>
      <c r="P36" s="37">
        <f t="shared" si="9"/>
        <v>8509</v>
      </c>
    </row>
    <row r="37" spans="1:16">
      <c r="A37" s="5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7"/>
      <c r="O37" s="37"/>
      <c r="P37" s="37"/>
    </row>
    <row r="38" spans="1:16" ht="13.5" thickBot="1">
      <c r="A38" s="49" t="s">
        <v>92</v>
      </c>
      <c r="B38" s="52">
        <f t="shared" ref="B38" si="10">B36+B25+B15+B13</f>
        <v>823704</v>
      </c>
      <c r="C38" s="52">
        <f t="shared" ref="C38:P38" si="11">C36+C25+C15+C13</f>
        <v>811843</v>
      </c>
      <c r="D38" s="52">
        <f t="shared" si="11"/>
        <v>820057</v>
      </c>
      <c r="E38" s="52">
        <f t="shared" si="11"/>
        <v>785940</v>
      </c>
      <c r="F38" s="52">
        <f t="shared" si="11"/>
        <v>786722</v>
      </c>
      <c r="G38" s="52">
        <f t="shared" si="11"/>
        <v>790113</v>
      </c>
      <c r="H38" s="52">
        <f t="shared" si="11"/>
        <v>675412</v>
      </c>
      <c r="I38" s="52">
        <f t="shared" si="11"/>
        <v>607235.12259475363</v>
      </c>
      <c r="J38" s="52">
        <f t="shared" si="11"/>
        <v>593219.82273470447</v>
      </c>
      <c r="K38" s="52">
        <f t="shared" si="11"/>
        <v>546666.71100000001</v>
      </c>
      <c r="L38" s="52">
        <f t="shared" si="11"/>
        <v>364198</v>
      </c>
      <c r="M38" s="53">
        <f t="shared" si="11"/>
        <v>387796.53249445127</v>
      </c>
      <c r="N38" s="52">
        <f t="shared" si="11"/>
        <v>199966.3117577552</v>
      </c>
      <c r="O38" s="52">
        <f t="shared" si="11"/>
        <v>101040.84974000597</v>
      </c>
      <c r="P38" s="52">
        <f t="shared" si="11"/>
        <v>70922</v>
      </c>
    </row>
    <row r="39" spans="1:16" ht="13.5" thickTop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N39" s="54"/>
      <c r="O39" s="54"/>
      <c r="P39" s="54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466D-001E-4341-BB37-A1D12F3FBC41}">
  <sheetPr>
    <tabColor rgb="FF92D050"/>
  </sheetPr>
  <dimension ref="A1:Z28"/>
  <sheetViews>
    <sheetView showGridLines="0" tabSelected="1" zoomScale="80" zoomScaleNormal="80" zoomScaleSheetLayoutView="90" workbookViewId="0">
      <pane xSplit="1" ySplit="1" topLeftCell="B2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52" style="1" bestFit="1" customWidth="1"/>
    <col min="2" max="2" width="10.28515625" style="1" bestFit="1" customWidth="1"/>
    <col min="3" max="4" width="9.5703125" style="1" bestFit="1" customWidth="1"/>
    <col min="5" max="5" width="10.28515625" style="1" bestFit="1" customWidth="1"/>
    <col min="6" max="7" width="9.28515625" style="1" bestFit="1" customWidth="1"/>
    <col min="8" max="8" width="9.5703125" style="1" bestFit="1" customWidth="1"/>
    <col min="9" max="10" width="9.28515625" style="1" bestFit="1" customWidth="1"/>
    <col min="11" max="11" width="10.28515625" style="1" bestFit="1" customWidth="1"/>
    <col min="12" max="12" width="9.28515625" style="1" bestFit="1" customWidth="1"/>
    <col min="13" max="13" width="10.28515625" style="1" bestFit="1" customWidth="1"/>
    <col min="14" max="14" width="9.28515625" style="1" bestFit="1" customWidth="1"/>
    <col min="15" max="15" width="9.5703125" style="1" bestFit="1" customWidth="1"/>
    <col min="16" max="17" width="9.28515625" style="1" bestFit="1" customWidth="1"/>
    <col min="18" max="18" width="10.28515625" style="1" bestFit="1" customWidth="1"/>
    <col min="19" max="19" width="9.28515625" style="1" bestFit="1" customWidth="1"/>
    <col min="20" max="20" width="9.5703125" style="1" bestFit="1" customWidth="1"/>
    <col min="21" max="24" width="9.28515625" style="1" bestFit="1" customWidth="1"/>
    <col min="25" max="25" width="9.5703125" style="1" bestFit="1" customWidth="1"/>
    <col min="26" max="16384" width="9.140625" style="1"/>
  </cols>
  <sheetData>
    <row r="1" spans="1:26" s="59" customFormat="1">
      <c r="A1" s="32" t="s">
        <v>93</v>
      </c>
      <c r="B1" s="32" t="s">
        <v>193</v>
      </c>
      <c r="C1" s="32" t="s">
        <v>181</v>
      </c>
      <c r="D1" s="32" t="s">
        <v>180</v>
      </c>
      <c r="E1" s="32" t="s">
        <v>37</v>
      </c>
      <c r="F1" s="32" t="s">
        <v>36</v>
      </c>
      <c r="G1" s="32" t="s">
        <v>31</v>
      </c>
      <c r="H1" s="32" t="s">
        <v>163</v>
      </c>
      <c r="I1" s="32" t="s">
        <v>30</v>
      </c>
      <c r="J1" s="32" t="s">
        <v>1</v>
      </c>
      <c r="K1" s="32">
        <v>2019</v>
      </c>
      <c r="L1" s="32" t="s">
        <v>12</v>
      </c>
      <c r="M1" s="32" t="s">
        <v>94</v>
      </c>
      <c r="N1" s="32" t="s">
        <v>13</v>
      </c>
      <c r="O1" s="32" t="s">
        <v>95</v>
      </c>
      <c r="P1" s="32" t="s">
        <v>14</v>
      </c>
      <c r="Q1" s="32" t="s">
        <v>15</v>
      </c>
      <c r="R1" s="32">
        <v>2018</v>
      </c>
      <c r="S1" s="32" t="s">
        <v>17</v>
      </c>
      <c r="T1" s="32" t="s">
        <v>96</v>
      </c>
      <c r="U1" s="32" t="s">
        <v>18</v>
      </c>
      <c r="V1" s="32" t="s">
        <v>97</v>
      </c>
      <c r="W1" s="32" t="s">
        <v>19</v>
      </c>
      <c r="X1" s="32" t="s">
        <v>20</v>
      </c>
      <c r="Y1" s="32">
        <v>2017</v>
      </c>
    </row>
    <row r="2" spans="1:26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6">
      <c r="A3" s="60" t="s">
        <v>98</v>
      </c>
      <c r="B3" s="61">
        <f>SUM(C3:D3)</f>
        <v>224886</v>
      </c>
      <c r="C3" s="61">
        <v>120761</v>
      </c>
      <c r="D3" s="61">
        <v>104125</v>
      </c>
      <c r="E3" s="61">
        <v>223966</v>
      </c>
      <c r="F3" s="61">
        <f>E3-SUM(G3:H3)</f>
        <v>49572</v>
      </c>
      <c r="G3" s="61">
        <v>68919</v>
      </c>
      <c r="H3" s="61">
        <f>SUM(I3:J3)</f>
        <v>105475</v>
      </c>
      <c r="I3" s="61">
        <v>44282</v>
      </c>
      <c r="J3" s="61">
        <v>61193</v>
      </c>
      <c r="K3" s="61">
        <v>281026</v>
      </c>
      <c r="L3" s="61">
        <v>86898</v>
      </c>
      <c r="M3" s="61">
        <v>194128</v>
      </c>
      <c r="N3" s="61">
        <f>M3-O3</f>
        <v>92761.598611215668</v>
      </c>
      <c r="O3" s="61">
        <v>101366.40138878433</v>
      </c>
      <c r="P3" s="61">
        <f>O3-Q3</f>
        <v>61435.401388784332</v>
      </c>
      <c r="Q3" s="61">
        <v>39931</v>
      </c>
      <c r="R3" s="61">
        <v>194003</v>
      </c>
      <c r="S3" s="61">
        <f>R3-T3</f>
        <v>77169.044828725455</v>
      </c>
      <c r="T3" s="61">
        <v>116833.95517127455</v>
      </c>
      <c r="U3" s="61">
        <f>T3-V3</f>
        <v>40703.618426512927</v>
      </c>
      <c r="V3" s="61">
        <v>76130.336744761618</v>
      </c>
      <c r="W3" s="61">
        <f>V3-X3</f>
        <v>37734.990771135155</v>
      </c>
      <c r="X3" s="61">
        <v>38395.345973626463</v>
      </c>
      <c r="Y3" s="61">
        <v>116665</v>
      </c>
    </row>
    <row r="4" spans="1:26">
      <c r="A4" s="60" t="s">
        <v>99</v>
      </c>
      <c r="B4" s="62">
        <f>SUM(C4:D4)</f>
        <v>-173109</v>
      </c>
      <c r="C4" s="62">
        <v>-97676</v>
      </c>
      <c r="D4" s="62">
        <v>-75433</v>
      </c>
      <c r="E4" s="62">
        <v>-192562</v>
      </c>
      <c r="F4" s="62">
        <f>E4-SUM(G4:H4)</f>
        <v>-54923</v>
      </c>
      <c r="G4" s="62">
        <v>-46753</v>
      </c>
      <c r="H4" s="62">
        <f>SUM(I4:J4)</f>
        <v>-90886</v>
      </c>
      <c r="I4" s="62">
        <v>-46218</v>
      </c>
      <c r="J4" s="62">
        <v>-44668</v>
      </c>
      <c r="K4" s="62">
        <v>-185444</v>
      </c>
      <c r="L4" s="62">
        <v>-61100</v>
      </c>
      <c r="M4" s="62">
        <v>-124344</v>
      </c>
      <c r="N4" s="62">
        <f>M4-O4</f>
        <v>-57372.762492590366</v>
      </c>
      <c r="O4" s="62">
        <v>-66971.237507409634</v>
      </c>
      <c r="P4" s="61">
        <f>O4-Q4</f>
        <v>-40734.237507409634</v>
      </c>
      <c r="Q4" s="62">
        <v>-26237</v>
      </c>
      <c r="R4" s="62">
        <v>-124679</v>
      </c>
      <c r="S4" s="62">
        <f>R4-T4</f>
        <v>-50021.159822902133</v>
      </c>
      <c r="T4" s="62">
        <v>-74657.840177097867</v>
      </c>
      <c r="U4" s="62">
        <f>T4-V4</f>
        <v>-25780.324128359847</v>
      </c>
      <c r="V4" s="62">
        <v>-48877.51604873802</v>
      </c>
      <c r="W4" s="62">
        <f>V4-X4</f>
        <v>-24386.603469945396</v>
      </c>
      <c r="X4" s="62">
        <v>-24490.912578792624</v>
      </c>
      <c r="Y4" s="62">
        <v>-80083</v>
      </c>
      <c r="Z4" s="54"/>
    </row>
    <row r="5" spans="1:26">
      <c r="A5" s="63" t="s">
        <v>100</v>
      </c>
      <c r="B5" s="64">
        <f t="shared" ref="B5" si="0">SUM(B3:B4)</f>
        <v>51777</v>
      </c>
      <c r="C5" s="64">
        <f>SUM(C3:C4)</f>
        <v>23085</v>
      </c>
      <c r="D5" s="64">
        <f>SUM(D3:D4)</f>
        <v>28692</v>
      </c>
      <c r="E5" s="64">
        <f>SUM(E3:E4)</f>
        <v>31404</v>
      </c>
      <c r="F5" s="64">
        <f t="shared" ref="F5" si="1">SUM(F3:F4)</f>
        <v>-5351</v>
      </c>
      <c r="G5" s="64">
        <f t="shared" ref="G5:I5" si="2">SUM(G3:G4)</f>
        <v>22166</v>
      </c>
      <c r="H5" s="64">
        <f t="shared" si="2"/>
        <v>14589</v>
      </c>
      <c r="I5" s="64">
        <f t="shared" si="2"/>
        <v>-1936</v>
      </c>
      <c r="J5" s="65">
        <f t="shared" ref="J5:Y5" si="3">SUM(J3:J4)</f>
        <v>16525</v>
      </c>
      <c r="K5" s="65">
        <f t="shared" si="3"/>
        <v>95582</v>
      </c>
      <c r="L5" s="65">
        <v>25798</v>
      </c>
      <c r="M5" s="65">
        <v>69784</v>
      </c>
      <c r="N5" s="65">
        <f t="shared" si="3"/>
        <v>35388.836118625302</v>
      </c>
      <c r="O5" s="65">
        <v>34395.163881374698</v>
      </c>
      <c r="P5" s="65">
        <f t="shared" si="3"/>
        <v>20701.163881374698</v>
      </c>
      <c r="Q5" s="65">
        <v>13694</v>
      </c>
      <c r="R5" s="65">
        <f t="shared" si="3"/>
        <v>69324</v>
      </c>
      <c r="S5" s="65">
        <f t="shared" si="3"/>
        <v>27147.885005823322</v>
      </c>
      <c r="T5" s="65">
        <f t="shared" si="3"/>
        <v>42176.114994176678</v>
      </c>
      <c r="U5" s="65">
        <f t="shared" si="3"/>
        <v>14923.29429815308</v>
      </c>
      <c r="V5" s="65">
        <f t="shared" si="3"/>
        <v>27252.820696023598</v>
      </c>
      <c r="W5" s="65">
        <f t="shared" si="3"/>
        <v>13348.387301189759</v>
      </c>
      <c r="X5" s="65">
        <f t="shared" si="3"/>
        <v>13904.433394833839</v>
      </c>
      <c r="Y5" s="65">
        <f t="shared" si="3"/>
        <v>36582</v>
      </c>
      <c r="Z5" s="66"/>
    </row>
    <row r="6" spans="1:26">
      <c r="A6" s="67" t="s">
        <v>101</v>
      </c>
      <c r="B6" s="68">
        <f t="shared" ref="B6" si="4">B5/B3</f>
        <v>0.23023665323764039</v>
      </c>
      <c r="C6" s="68">
        <f t="shared" ref="C6:D6" si="5">C5/C3</f>
        <v>0.19116270981525493</v>
      </c>
      <c r="D6" s="68">
        <f t="shared" si="5"/>
        <v>0.27555342136854744</v>
      </c>
      <c r="E6" s="68">
        <f t="shared" ref="E6:F6" si="6">E5/E3</f>
        <v>0.14021771161694185</v>
      </c>
      <c r="F6" s="68">
        <f t="shared" si="6"/>
        <v>-0.1079440006455257</v>
      </c>
      <c r="G6" s="68">
        <f t="shared" ref="G6:Y6" si="7">G5/G3</f>
        <v>0.32162393534438977</v>
      </c>
      <c r="H6" s="68">
        <f t="shared" si="7"/>
        <v>0.13831713676226595</v>
      </c>
      <c r="I6" s="68">
        <f t="shared" si="7"/>
        <v>-4.3719795853845805E-2</v>
      </c>
      <c r="J6" s="68">
        <f t="shared" si="7"/>
        <v>0.27004722762407463</v>
      </c>
      <c r="K6" s="68">
        <f t="shared" si="7"/>
        <v>0.34011799619963989</v>
      </c>
      <c r="L6" s="68">
        <v>0.2968767980851113</v>
      </c>
      <c r="M6" s="68">
        <v>0.35947416137805982</v>
      </c>
      <c r="N6" s="68">
        <f t="shared" si="7"/>
        <v>0.38150308585072712</v>
      </c>
      <c r="O6" s="68">
        <v>0.33931523078790427</v>
      </c>
      <c r="P6" s="68">
        <f t="shared" si="7"/>
        <v>0.33695822625737593</v>
      </c>
      <c r="Q6" s="68">
        <v>0.34294157421552179</v>
      </c>
      <c r="R6" s="68">
        <f t="shared" si="7"/>
        <v>0.35733468039154032</v>
      </c>
      <c r="S6" s="68">
        <f t="shared" si="7"/>
        <v>0.35179760312023167</v>
      </c>
      <c r="T6" s="68">
        <f t="shared" si="7"/>
        <v>0.36099193023421955</v>
      </c>
      <c r="U6" s="68">
        <f t="shared" si="7"/>
        <v>0.36663311211743677</v>
      </c>
      <c r="V6" s="68">
        <f t="shared" si="7"/>
        <v>0.35797583277994383</v>
      </c>
      <c r="W6" s="68">
        <f t="shared" si="7"/>
        <v>0.35374030915095434</v>
      </c>
      <c r="X6" s="68">
        <f t="shared" si="7"/>
        <v>0.3621385103388497</v>
      </c>
      <c r="Y6" s="68">
        <f t="shared" si="7"/>
        <v>0.31356447949256416</v>
      </c>
    </row>
    <row r="7" spans="1:26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6">
      <c r="A8" s="60" t="s">
        <v>102</v>
      </c>
      <c r="B8" s="33"/>
      <c r="C8" s="33"/>
      <c r="D8" s="33"/>
      <c r="E8" s="33"/>
      <c r="F8" s="33"/>
      <c r="G8" s="33"/>
      <c r="H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6">
      <c r="A9" s="60" t="s">
        <v>103</v>
      </c>
      <c r="B9" s="62">
        <f t="shared" ref="B9:B11" si="8">SUM(C9:D9)</f>
        <v>-20073</v>
      </c>
      <c r="C9" s="62">
        <v>-10688</v>
      </c>
      <c r="D9" s="62">
        <v>-9385</v>
      </c>
      <c r="E9" s="62">
        <v>-17839</v>
      </c>
      <c r="F9" s="62">
        <f>E9-SUM(G9:H9)</f>
        <v>-5622</v>
      </c>
      <c r="G9" s="62">
        <v>-4299</v>
      </c>
      <c r="H9" s="62">
        <f t="shared" ref="H9:H11" si="9">SUM(I9:J9)</f>
        <v>-7918</v>
      </c>
      <c r="I9" s="62">
        <v>-3057</v>
      </c>
      <c r="J9" s="62">
        <v>-4861</v>
      </c>
      <c r="K9" s="62">
        <v>-19486</v>
      </c>
      <c r="L9" s="62">
        <v>-7274.5959800000001</v>
      </c>
      <c r="M9" s="62">
        <v>-12211.40402</v>
      </c>
      <c r="N9" s="62">
        <f>M9-O9</f>
        <v>-4472.4040199999999</v>
      </c>
      <c r="O9" s="62">
        <v>-7739</v>
      </c>
      <c r="P9" s="62">
        <f>O9-Q9</f>
        <v>-3451</v>
      </c>
      <c r="Q9" s="62">
        <v>-4288</v>
      </c>
      <c r="R9" s="62">
        <v>-9169</v>
      </c>
      <c r="S9" s="62">
        <f>R9-T9</f>
        <v>-1486.0214400000004</v>
      </c>
      <c r="T9" s="62">
        <v>-7682.9785599999996</v>
      </c>
      <c r="U9" s="62">
        <f>T9-V9</f>
        <v>-2464.3636099999994</v>
      </c>
      <c r="V9" s="62">
        <v>-5218.6149500000001</v>
      </c>
      <c r="W9" s="62">
        <f>V9-X9</f>
        <v>-3560.93291</v>
      </c>
      <c r="X9" s="62">
        <v>-1657.6820400000001</v>
      </c>
      <c r="Y9" s="62">
        <v>-8150</v>
      </c>
      <c r="Z9" s="54"/>
    </row>
    <row r="10" spans="1:26">
      <c r="A10" s="60" t="s">
        <v>104</v>
      </c>
      <c r="B10" s="62">
        <f t="shared" si="8"/>
        <v>-11150</v>
      </c>
      <c r="C10" s="62">
        <v>-5130</v>
      </c>
      <c r="D10" s="62">
        <v>-6020</v>
      </c>
      <c r="E10" s="62">
        <v>-32853</v>
      </c>
      <c r="F10" s="62">
        <f>E10-SUM(G10:H10)</f>
        <v>-9125</v>
      </c>
      <c r="G10" s="62">
        <v>-7761</v>
      </c>
      <c r="H10" s="62">
        <f t="shared" si="9"/>
        <v>-15967</v>
      </c>
      <c r="I10" s="62">
        <v>-8748</v>
      </c>
      <c r="J10" s="62">
        <v>-7219</v>
      </c>
      <c r="K10" s="62">
        <v>-23288</v>
      </c>
      <c r="L10" s="62">
        <v>-6450.7153899999939</v>
      </c>
      <c r="M10" s="62">
        <v>-16837.284610000006</v>
      </c>
      <c r="N10" s="62">
        <f>M10-O10</f>
        <v>-5243.2846100000061</v>
      </c>
      <c r="O10" s="62">
        <v>-11594</v>
      </c>
      <c r="P10" s="62">
        <f>O10-Q10</f>
        <v>-6226</v>
      </c>
      <c r="Q10" s="62">
        <v>-5368</v>
      </c>
      <c r="R10" s="62">
        <v>-6662</v>
      </c>
      <c r="S10" s="62">
        <f>R10-T10</f>
        <v>-1380.642179999998</v>
      </c>
      <c r="T10" s="62">
        <v>-5281.357820000002</v>
      </c>
      <c r="U10" s="62">
        <f>T10-V10</f>
        <v>-2163.4478100000024</v>
      </c>
      <c r="V10" s="62">
        <v>-3117.9100099999996</v>
      </c>
      <c r="W10" s="62">
        <f>V10-X10</f>
        <v>-1366.6475</v>
      </c>
      <c r="X10" s="62">
        <v>-1751.2625099999996</v>
      </c>
      <c r="Y10" s="62">
        <v>-7289</v>
      </c>
    </row>
    <row r="11" spans="1:26">
      <c r="A11" s="60" t="s">
        <v>105</v>
      </c>
      <c r="B11" s="62">
        <f t="shared" si="8"/>
        <v>-4972</v>
      </c>
      <c r="C11" s="62">
        <v>-897</v>
      </c>
      <c r="D11" s="62">
        <v>-4075</v>
      </c>
      <c r="E11" s="62">
        <v>-6187</v>
      </c>
      <c r="F11" s="62">
        <f>E11-SUM(G11:H11)</f>
        <v>-2574</v>
      </c>
      <c r="G11" s="62">
        <v>-2526</v>
      </c>
      <c r="H11" s="62">
        <f t="shared" si="9"/>
        <v>-1087</v>
      </c>
      <c r="I11" s="62">
        <v>-878</v>
      </c>
      <c r="J11" s="62">
        <v>-209</v>
      </c>
      <c r="K11" s="62">
        <v>-2132</v>
      </c>
      <c r="L11" s="62">
        <v>-427.31728000000021</v>
      </c>
      <c r="M11" s="62">
        <v>-1704.6827199999998</v>
      </c>
      <c r="N11" s="62">
        <f>M11-O11</f>
        <v>-702.68271999999979</v>
      </c>
      <c r="O11" s="62">
        <v>-1002</v>
      </c>
      <c r="P11" s="62">
        <f>O11-Q11</f>
        <v>-610</v>
      </c>
      <c r="Q11" s="62">
        <v>-392</v>
      </c>
      <c r="R11" s="62">
        <v>-997</v>
      </c>
      <c r="S11" s="62">
        <f>R11-T11</f>
        <v>-569.88387999999998</v>
      </c>
      <c r="T11" s="62">
        <v>-427.11612000000002</v>
      </c>
      <c r="U11" s="62">
        <f>T11-V11</f>
        <v>-110.60982999999999</v>
      </c>
      <c r="V11" s="62">
        <v>-316.50629000000004</v>
      </c>
      <c r="W11" s="62">
        <f>V11-X11</f>
        <v>-79.472090000000037</v>
      </c>
      <c r="X11" s="62">
        <v>-237.0342</v>
      </c>
      <c r="Y11" s="62">
        <v>-261</v>
      </c>
    </row>
    <row r="12" spans="1:26">
      <c r="A12" s="60"/>
      <c r="B12" s="64">
        <f t="shared" ref="B12" si="10">SUM(B9:B11)</f>
        <v>-36195</v>
      </c>
      <c r="C12" s="64">
        <f t="shared" ref="C12:D12" si="11">SUM(C9:C11)</f>
        <v>-16715</v>
      </c>
      <c r="D12" s="64">
        <f t="shared" si="11"/>
        <v>-19480</v>
      </c>
      <c r="E12" s="64">
        <f t="shared" ref="E12:F12" si="12">SUM(E9:E11)</f>
        <v>-56879</v>
      </c>
      <c r="F12" s="64">
        <f t="shared" si="12"/>
        <v>-17321</v>
      </c>
      <c r="G12" s="64">
        <f t="shared" ref="G12:Y12" si="13">SUM(G9:G11)</f>
        <v>-14586</v>
      </c>
      <c r="H12" s="64">
        <f t="shared" si="13"/>
        <v>-24972</v>
      </c>
      <c r="I12" s="64">
        <f t="shared" si="13"/>
        <v>-12683</v>
      </c>
      <c r="J12" s="64">
        <f t="shared" si="13"/>
        <v>-12289</v>
      </c>
      <c r="K12" s="64">
        <f t="shared" si="13"/>
        <v>-44906</v>
      </c>
      <c r="L12" s="64">
        <v>-14152.628649999995</v>
      </c>
      <c r="M12" s="64">
        <v>-30753.371350000005</v>
      </c>
      <c r="N12" s="64">
        <f t="shared" si="13"/>
        <v>-10418.371350000005</v>
      </c>
      <c r="O12" s="64">
        <v>-20335</v>
      </c>
      <c r="P12" s="64">
        <f t="shared" si="13"/>
        <v>-10287</v>
      </c>
      <c r="Q12" s="64">
        <v>-10048</v>
      </c>
      <c r="R12" s="64">
        <f t="shared" si="13"/>
        <v>-16828</v>
      </c>
      <c r="S12" s="64">
        <f t="shared" si="13"/>
        <v>-3436.5474999999983</v>
      </c>
      <c r="T12" s="64">
        <f t="shared" si="13"/>
        <v>-13391.452500000001</v>
      </c>
      <c r="U12" s="64">
        <f t="shared" si="13"/>
        <v>-4738.4212500000021</v>
      </c>
      <c r="V12" s="64">
        <f t="shared" si="13"/>
        <v>-8653.0312499999982</v>
      </c>
      <c r="W12" s="64">
        <f t="shared" si="13"/>
        <v>-5007.0525000000007</v>
      </c>
      <c r="X12" s="64">
        <f t="shared" si="13"/>
        <v>-3645.9787499999998</v>
      </c>
      <c r="Y12" s="64">
        <f t="shared" si="13"/>
        <v>-15700</v>
      </c>
    </row>
    <row r="13" spans="1:26">
      <c r="A13" s="60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6">
      <c r="A14" s="67" t="s">
        <v>106</v>
      </c>
      <c r="B14" s="62">
        <f t="shared" ref="B14" si="14">B5+B12</f>
        <v>15582</v>
      </c>
      <c r="C14" s="62">
        <f t="shared" ref="C14:D14" si="15">C5+C12</f>
        <v>6370</v>
      </c>
      <c r="D14" s="62">
        <f t="shared" si="15"/>
        <v>9212</v>
      </c>
      <c r="E14" s="62">
        <f t="shared" ref="E14:F14" si="16">E5+E12</f>
        <v>-25475</v>
      </c>
      <c r="F14" s="62">
        <f t="shared" si="16"/>
        <v>-22672</v>
      </c>
      <c r="G14" s="62">
        <f t="shared" ref="G14:Y14" si="17">G5+G12</f>
        <v>7580</v>
      </c>
      <c r="H14" s="62">
        <f t="shared" si="17"/>
        <v>-10383</v>
      </c>
      <c r="I14" s="62">
        <f t="shared" si="17"/>
        <v>-14619</v>
      </c>
      <c r="J14" s="69">
        <f t="shared" si="17"/>
        <v>4236</v>
      </c>
      <c r="K14" s="69">
        <f t="shared" si="17"/>
        <v>50676</v>
      </c>
      <c r="L14" s="69">
        <v>11645.371350000005</v>
      </c>
      <c r="M14" s="69">
        <v>39030.628649999999</v>
      </c>
      <c r="N14" s="69">
        <f t="shared" si="17"/>
        <v>24970.464768625297</v>
      </c>
      <c r="O14" s="69">
        <v>14059.163881374698</v>
      </c>
      <c r="P14" s="69">
        <f t="shared" si="17"/>
        <v>10414.163881374698</v>
      </c>
      <c r="Q14" s="69">
        <v>3646</v>
      </c>
      <c r="R14" s="69">
        <f t="shared" si="17"/>
        <v>52496</v>
      </c>
      <c r="S14" s="69">
        <f t="shared" si="17"/>
        <v>23711.337505823325</v>
      </c>
      <c r="T14" s="69">
        <f t="shared" si="17"/>
        <v>28784.662494176679</v>
      </c>
      <c r="U14" s="69">
        <f t="shared" si="17"/>
        <v>10184.873048153077</v>
      </c>
      <c r="V14" s="69">
        <f t="shared" si="17"/>
        <v>18599.789446023598</v>
      </c>
      <c r="W14" s="69">
        <f t="shared" si="17"/>
        <v>8341.3348011897579</v>
      </c>
      <c r="X14" s="69">
        <f t="shared" si="17"/>
        <v>10258.454644833839</v>
      </c>
      <c r="Y14" s="69">
        <f t="shared" si="17"/>
        <v>20882</v>
      </c>
    </row>
    <row r="15" spans="1:26">
      <c r="A15" s="67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6">
      <c r="A16" s="67" t="s">
        <v>107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6">
      <c r="A17" s="67" t="s">
        <v>108</v>
      </c>
      <c r="B17" s="62">
        <f t="shared" ref="B17:B18" si="18">SUM(C17:D17)</f>
        <v>3133</v>
      </c>
      <c r="C17" s="62">
        <v>1835</v>
      </c>
      <c r="D17" s="62">
        <v>1298</v>
      </c>
      <c r="E17" s="62">
        <v>2618</v>
      </c>
      <c r="F17" s="62">
        <f>E17-SUM(G17:H17)</f>
        <v>-3839</v>
      </c>
      <c r="G17" s="62">
        <v>605</v>
      </c>
      <c r="H17" s="62">
        <f t="shared" ref="H17:H18" si="19">SUM(I17:J17)</f>
        <v>5852</v>
      </c>
      <c r="I17" s="62">
        <v>2160</v>
      </c>
      <c r="J17" s="62">
        <v>3692</v>
      </c>
      <c r="K17" s="62">
        <v>14750</v>
      </c>
      <c r="L17" s="62">
        <v>4524</v>
      </c>
      <c r="M17" s="62">
        <v>10226</v>
      </c>
      <c r="N17" s="62">
        <f>M17-O17</f>
        <v>2359.4894876805893</v>
      </c>
      <c r="O17" s="62">
        <v>7866.5105123194107</v>
      </c>
      <c r="P17" s="62">
        <f>O17-Q17</f>
        <v>-196.48948768058926</v>
      </c>
      <c r="Q17" s="62">
        <v>8063</v>
      </c>
      <c r="R17" s="62">
        <v>12325</v>
      </c>
      <c r="S17" s="62">
        <f>R17-T17</f>
        <v>10689.66833</v>
      </c>
      <c r="T17" s="62">
        <v>1635.33167</v>
      </c>
      <c r="U17" s="62">
        <f>T17-V17</f>
        <v>867.12865999999985</v>
      </c>
      <c r="V17" s="62">
        <v>768.20301000000018</v>
      </c>
      <c r="W17" s="62">
        <f>V17-X17</f>
        <v>571.1655800000002</v>
      </c>
      <c r="X17" s="62">
        <v>197.03743</v>
      </c>
      <c r="Y17" s="62">
        <v>1041</v>
      </c>
    </row>
    <row r="18" spans="1:26">
      <c r="A18" s="67" t="s">
        <v>109</v>
      </c>
      <c r="B18" s="70">
        <f t="shared" si="18"/>
        <v>-8552</v>
      </c>
      <c r="C18" s="70">
        <v>-4728</v>
      </c>
      <c r="D18" s="70">
        <v>-3824</v>
      </c>
      <c r="E18" s="70">
        <v>-12526</v>
      </c>
      <c r="F18" s="70">
        <f>E18-SUM(G18:H18)</f>
        <v>-3052</v>
      </c>
      <c r="G18" s="70">
        <v>-3045</v>
      </c>
      <c r="H18" s="70">
        <f t="shared" si="19"/>
        <v>-6429</v>
      </c>
      <c r="I18" s="70">
        <v>-3126</v>
      </c>
      <c r="J18" s="70">
        <v>-3303</v>
      </c>
      <c r="K18" s="70">
        <v>-13385</v>
      </c>
      <c r="L18" s="70">
        <v>-2161.2851199999986</v>
      </c>
      <c r="M18" s="70">
        <v>-11223.714880000001</v>
      </c>
      <c r="N18" s="70">
        <f>M18-O18</f>
        <v>-3441.8288600000005</v>
      </c>
      <c r="O18" s="70">
        <v>-7781.8860200000008</v>
      </c>
      <c r="P18" s="70">
        <f>O18-Q18</f>
        <v>-3570.8860200000008</v>
      </c>
      <c r="Q18" s="70">
        <v>-4211</v>
      </c>
      <c r="R18" s="70">
        <v>-12322</v>
      </c>
      <c r="S18" s="70">
        <f>R18-T18</f>
        <v>-5602.1698299999989</v>
      </c>
      <c r="T18" s="70">
        <v>-6719.8301700000011</v>
      </c>
      <c r="U18" s="70">
        <f>T18-V18</f>
        <v>-2158.5894500000004</v>
      </c>
      <c r="V18" s="70">
        <v>-4561.2407200000007</v>
      </c>
      <c r="W18" s="70">
        <f>V18-X18</f>
        <v>-3306.6747100000011</v>
      </c>
      <c r="X18" s="70">
        <v>-1254.5660099999998</v>
      </c>
      <c r="Y18" s="70">
        <v>-4322</v>
      </c>
    </row>
    <row r="19" spans="1:26">
      <c r="A19" s="67"/>
      <c r="B19" s="71">
        <f t="shared" ref="B19" si="20">SUM(B17:B18)</f>
        <v>-5419</v>
      </c>
      <c r="C19" s="71">
        <f t="shared" ref="C19:D19" si="21">SUM(C17:C18)</f>
        <v>-2893</v>
      </c>
      <c r="D19" s="71">
        <f t="shared" si="21"/>
        <v>-2526</v>
      </c>
      <c r="E19" s="71">
        <f t="shared" ref="E19:F19" si="22">SUM(E17:E18)</f>
        <v>-9908</v>
      </c>
      <c r="F19" s="71">
        <f t="shared" si="22"/>
        <v>-6891</v>
      </c>
      <c r="G19" s="71">
        <f t="shared" ref="G19:Y19" si="23">SUM(G17:G18)</f>
        <v>-2440</v>
      </c>
      <c r="H19" s="71">
        <f t="shared" si="23"/>
        <v>-577</v>
      </c>
      <c r="I19" s="71">
        <f t="shared" si="23"/>
        <v>-966</v>
      </c>
      <c r="J19" s="71">
        <f t="shared" si="23"/>
        <v>389</v>
      </c>
      <c r="K19" s="71">
        <f t="shared" si="23"/>
        <v>1365</v>
      </c>
      <c r="L19" s="71">
        <v>2362.7148800000014</v>
      </c>
      <c r="M19" s="71">
        <v>-997.71488000000136</v>
      </c>
      <c r="N19" s="71">
        <f t="shared" si="23"/>
        <v>-1082.3393723194113</v>
      </c>
      <c r="O19" s="71">
        <v>84.62449231940991</v>
      </c>
      <c r="P19" s="71">
        <f t="shared" si="23"/>
        <v>-3767.3755076805901</v>
      </c>
      <c r="Q19" s="71">
        <v>3852</v>
      </c>
      <c r="R19" s="71">
        <f t="shared" si="23"/>
        <v>3</v>
      </c>
      <c r="S19" s="71">
        <f t="shared" si="23"/>
        <v>5087.4985000000015</v>
      </c>
      <c r="T19" s="71">
        <f t="shared" si="23"/>
        <v>-5084.4985000000015</v>
      </c>
      <c r="U19" s="71">
        <f t="shared" si="23"/>
        <v>-1291.4607900000005</v>
      </c>
      <c r="V19" s="71">
        <f t="shared" si="23"/>
        <v>-3793.0377100000005</v>
      </c>
      <c r="W19" s="71">
        <f t="shared" si="23"/>
        <v>-2735.5091300000008</v>
      </c>
      <c r="X19" s="71">
        <f t="shared" si="23"/>
        <v>-1057.5285799999997</v>
      </c>
      <c r="Y19" s="71">
        <f t="shared" si="23"/>
        <v>-3281</v>
      </c>
    </row>
    <row r="20" spans="1:26">
      <c r="A20" s="67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6">
      <c r="A21" s="67" t="s">
        <v>110</v>
      </c>
      <c r="B21" s="72">
        <f t="shared" ref="B21" si="24">B19+B14</f>
        <v>10163</v>
      </c>
      <c r="C21" s="72">
        <f t="shared" ref="C21:D21" si="25">C19+C14</f>
        <v>3477</v>
      </c>
      <c r="D21" s="72">
        <f t="shared" si="25"/>
        <v>6686</v>
      </c>
      <c r="E21" s="72">
        <f t="shared" ref="E21:F21" si="26">E19+E14</f>
        <v>-35383</v>
      </c>
      <c r="F21" s="72">
        <f t="shared" si="26"/>
        <v>-29563</v>
      </c>
      <c r="G21" s="72">
        <f t="shared" ref="G21:Y21" si="27">G19+G14</f>
        <v>5140</v>
      </c>
      <c r="H21" s="72">
        <f t="shared" si="27"/>
        <v>-10960</v>
      </c>
      <c r="I21" s="72">
        <f t="shared" si="27"/>
        <v>-15585</v>
      </c>
      <c r="J21" s="72">
        <f t="shared" si="27"/>
        <v>4625</v>
      </c>
      <c r="K21" s="72">
        <f t="shared" si="27"/>
        <v>52041</v>
      </c>
      <c r="L21" s="72">
        <v>14008.086230000006</v>
      </c>
      <c r="M21" s="72">
        <v>38032.913769999999</v>
      </c>
      <c r="N21" s="72">
        <f t="shared" si="27"/>
        <v>23888.125396305884</v>
      </c>
      <c r="O21" s="72">
        <v>14144.788373694108</v>
      </c>
      <c r="P21" s="72">
        <f t="shared" si="27"/>
        <v>6646.7883736941076</v>
      </c>
      <c r="Q21" s="72">
        <v>7498</v>
      </c>
      <c r="R21" s="72">
        <f t="shared" si="27"/>
        <v>52499</v>
      </c>
      <c r="S21" s="72">
        <f t="shared" si="27"/>
        <v>28798.836005823327</v>
      </c>
      <c r="T21" s="72">
        <f t="shared" si="27"/>
        <v>23700.163994176677</v>
      </c>
      <c r="U21" s="72">
        <f t="shared" si="27"/>
        <v>8893.4122581530755</v>
      </c>
      <c r="V21" s="72">
        <f t="shared" si="27"/>
        <v>14806.751736023598</v>
      </c>
      <c r="W21" s="72">
        <f t="shared" si="27"/>
        <v>5605.8256711897575</v>
      </c>
      <c r="X21" s="72">
        <f t="shared" si="27"/>
        <v>9200.9260648338386</v>
      </c>
      <c r="Y21" s="72">
        <f t="shared" si="27"/>
        <v>17601</v>
      </c>
    </row>
    <row r="22" spans="1:26">
      <c r="A22" s="67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6">
      <c r="A23" s="67" t="s">
        <v>111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6">
      <c r="A24" s="67" t="s">
        <v>112</v>
      </c>
      <c r="B24" s="70">
        <f>SUM(C24:D24)</f>
        <v>-4298</v>
      </c>
      <c r="C24" s="70">
        <v>-2382</v>
      </c>
      <c r="D24" s="70">
        <v>-1916</v>
      </c>
      <c r="E24" s="70">
        <v>-4652</v>
      </c>
      <c r="F24" s="70">
        <f>E24-SUM(G24:H24)</f>
        <v>-935</v>
      </c>
      <c r="G24" s="70">
        <v>-1507</v>
      </c>
      <c r="H24" s="70">
        <f>SUM(I24:J24)</f>
        <v>-2210</v>
      </c>
      <c r="I24" s="70">
        <v>-905</v>
      </c>
      <c r="J24" s="70">
        <v>-1305</v>
      </c>
      <c r="K24" s="70">
        <v>-5474</v>
      </c>
      <c r="L24" s="70">
        <v>-1807.18028</v>
      </c>
      <c r="M24" s="70">
        <v>-3666.81972</v>
      </c>
      <c r="N24" s="70">
        <f>M24-O24</f>
        <v>-1602.78523</v>
      </c>
      <c r="O24" s="70">
        <v>-2064.03449</v>
      </c>
      <c r="P24" s="70">
        <f>O24-Q24</f>
        <v>-1178.03449</v>
      </c>
      <c r="Q24" s="70">
        <v>-886</v>
      </c>
      <c r="R24" s="70">
        <v>-5195</v>
      </c>
      <c r="S24" s="70">
        <f>R24-T24</f>
        <v>-1761.5011500000001</v>
      </c>
      <c r="T24" s="70">
        <v>-3433.4988499999999</v>
      </c>
      <c r="U24" s="70">
        <f>T24-V24</f>
        <v>-850.2797099999998</v>
      </c>
      <c r="V24" s="70">
        <v>-2583.2191400000002</v>
      </c>
      <c r="W24" s="70">
        <f>V24-X24</f>
        <v>-1386.2191400000002</v>
      </c>
      <c r="X24" s="70">
        <v>-1197</v>
      </c>
      <c r="Y24" s="70">
        <v>-1197</v>
      </c>
    </row>
    <row r="25" spans="1:26">
      <c r="A25" s="67"/>
      <c r="B25" s="62">
        <f t="shared" ref="B25" si="28">B24</f>
        <v>-4298</v>
      </c>
      <c r="C25" s="62">
        <f t="shared" ref="C25:D25" si="29">C24</f>
        <v>-2382</v>
      </c>
      <c r="D25" s="62">
        <f t="shared" si="29"/>
        <v>-1916</v>
      </c>
      <c r="E25" s="62">
        <f t="shared" ref="E25:F25" si="30">E24</f>
        <v>-4652</v>
      </c>
      <c r="F25" s="62">
        <f t="shared" si="30"/>
        <v>-935</v>
      </c>
      <c r="G25" s="62">
        <f t="shared" ref="G25:Y25" si="31">G24</f>
        <v>-1507</v>
      </c>
      <c r="H25" s="62">
        <f t="shared" si="31"/>
        <v>-2210</v>
      </c>
      <c r="I25" s="62">
        <f t="shared" si="31"/>
        <v>-905</v>
      </c>
      <c r="J25" s="62">
        <f t="shared" si="31"/>
        <v>-1305</v>
      </c>
      <c r="K25" s="62">
        <f t="shared" si="31"/>
        <v>-5474</v>
      </c>
      <c r="L25" s="62">
        <v>-1807.18028</v>
      </c>
      <c r="M25" s="62">
        <v>-3666.81972</v>
      </c>
      <c r="N25" s="62">
        <f t="shared" si="31"/>
        <v>-1602.78523</v>
      </c>
      <c r="O25" s="62">
        <v>-2064.03449</v>
      </c>
      <c r="P25" s="62">
        <f t="shared" si="31"/>
        <v>-1178.03449</v>
      </c>
      <c r="Q25" s="62">
        <v>-886</v>
      </c>
      <c r="R25" s="62">
        <f t="shared" si="31"/>
        <v>-5195</v>
      </c>
      <c r="S25" s="62">
        <f t="shared" si="31"/>
        <v>-1761.5011500000001</v>
      </c>
      <c r="T25" s="62">
        <f t="shared" si="31"/>
        <v>-3433.4988499999999</v>
      </c>
      <c r="U25" s="62">
        <f t="shared" si="31"/>
        <v>-850.2797099999998</v>
      </c>
      <c r="V25" s="62">
        <f t="shared" si="31"/>
        <v>-2583.2191400000002</v>
      </c>
      <c r="W25" s="62">
        <f t="shared" si="31"/>
        <v>-1386.2191400000002</v>
      </c>
      <c r="X25" s="62">
        <f t="shared" si="31"/>
        <v>-1197</v>
      </c>
      <c r="Y25" s="62">
        <f t="shared" si="31"/>
        <v>-1197</v>
      </c>
    </row>
    <row r="26" spans="1:26">
      <c r="A26" s="6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6" ht="13.5" thickBot="1">
      <c r="A27" s="67" t="s">
        <v>113</v>
      </c>
      <c r="B27" s="73">
        <f t="shared" ref="B27" si="32">B25+B21</f>
        <v>5865</v>
      </c>
      <c r="C27" s="73">
        <f t="shared" ref="C27:D27" si="33">C25+C21</f>
        <v>1095</v>
      </c>
      <c r="D27" s="73">
        <f t="shared" si="33"/>
        <v>4770</v>
      </c>
      <c r="E27" s="73">
        <f t="shared" ref="E27:F27" si="34">E25+E21</f>
        <v>-40035</v>
      </c>
      <c r="F27" s="73">
        <f t="shared" si="34"/>
        <v>-30498</v>
      </c>
      <c r="G27" s="73">
        <f t="shared" ref="G27:T27" si="35">G25+G21</f>
        <v>3633</v>
      </c>
      <c r="H27" s="73">
        <f t="shared" si="35"/>
        <v>-13170</v>
      </c>
      <c r="I27" s="73">
        <f t="shared" si="35"/>
        <v>-16490</v>
      </c>
      <c r="J27" s="73">
        <f t="shared" si="35"/>
        <v>3320</v>
      </c>
      <c r="K27" s="73">
        <f t="shared" si="35"/>
        <v>46567</v>
      </c>
      <c r="L27" s="73">
        <v>12200.905950000006</v>
      </c>
      <c r="M27" s="73">
        <v>34366.09405</v>
      </c>
      <c r="N27" s="73">
        <f t="shared" si="35"/>
        <v>22285.340166305883</v>
      </c>
      <c r="O27" s="73">
        <v>12080.753883694108</v>
      </c>
      <c r="P27" s="73">
        <f t="shared" si="35"/>
        <v>5468.7538836941076</v>
      </c>
      <c r="Q27" s="73">
        <v>6612</v>
      </c>
      <c r="R27" s="73">
        <f t="shared" si="35"/>
        <v>47304</v>
      </c>
      <c r="S27" s="73">
        <f t="shared" si="35"/>
        <v>27037.334855823327</v>
      </c>
      <c r="T27" s="73">
        <f t="shared" si="35"/>
        <v>20266.665144176677</v>
      </c>
      <c r="U27" s="73">
        <f>U25+U21</f>
        <v>8043.1325481530757</v>
      </c>
      <c r="V27" s="73">
        <f>V25+V21</f>
        <v>12223.532596023597</v>
      </c>
      <c r="W27" s="73">
        <f>W25+W21</f>
        <v>4219.6065311897573</v>
      </c>
      <c r="X27" s="73">
        <f t="shared" ref="X27" si="36">X25+X21</f>
        <v>8003.9260648338386</v>
      </c>
      <c r="Y27" s="73">
        <f>Y25+Y21</f>
        <v>16404</v>
      </c>
      <c r="Z27" s="74"/>
    </row>
    <row r="28" spans="1:26" ht="13.5" thickTop="1">
      <c r="A28" s="67" t="s">
        <v>114</v>
      </c>
      <c r="B28" s="68">
        <f t="shared" ref="B28" si="37">B27/B3</f>
        <v>2.6079880472772873E-2</v>
      </c>
      <c r="C28" s="68">
        <f t="shared" ref="C28:D28" si="38">C27/C3</f>
        <v>9.067496956798966E-3</v>
      </c>
      <c r="D28" s="68">
        <f t="shared" si="38"/>
        <v>4.5810324129651858E-2</v>
      </c>
      <c r="E28" s="68">
        <f t="shared" ref="E28:F28" si="39">E27/E3</f>
        <v>-0.17875481099809792</v>
      </c>
      <c r="F28" s="68">
        <f t="shared" si="39"/>
        <v>-0.6152263374485597</v>
      </c>
      <c r="G28" s="68">
        <f t="shared" ref="G28:Y28" si="40">G27/G3</f>
        <v>5.2714055630522789E-2</v>
      </c>
      <c r="H28" s="68">
        <f t="shared" ref="H28" si="41">H27/H3</f>
        <v>-0.12486371178004266</v>
      </c>
      <c r="I28" s="68">
        <f t="shared" si="40"/>
        <v>-0.37238607108983335</v>
      </c>
      <c r="J28" s="68">
        <f t="shared" si="40"/>
        <v>5.4254571601326948E-2</v>
      </c>
      <c r="K28" s="68">
        <f t="shared" si="40"/>
        <v>0.16570352921082035</v>
      </c>
      <c r="L28" s="68">
        <f t="shared" si="40"/>
        <v>0.140404910930056</v>
      </c>
      <c r="M28" s="68">
        <f t="shared" si="40"/>
        <v>0.17702801270295887</v>
      </c>
      <c r="N28" s="68">
        <f t="shared" si="40"/>
        <v>0.2402431663527993</v>
      </c>
      <c r="O28" s="68">
        <f t="shared" si="40"/>
        <v>0.11917907431042314</v>
      </c>
      <c r="P28" s="68">
        <f t="shared" si="40"/>
        <v>8.9016328697617747E-2</v>
      </c>
      <c r="Q28" s="68">
        <f t="shared" si="40"/>
        <v>0.16558563522075581</v>
      </c>
      <c r="R28" s="68">
        <f t="shared" si="40"/>
        <v>0.24383128095957279</v>
      </c>
      <c r="S28" s="68">
        <f t="shared" si="40"/>
        <v>0.35036503193517476</v>
      </c>
      <c r="T28" s="68">
        <f t="shared" si="40"/>
        <v>0.17346554017166024</v>
      </c>
      <c r="U28" s="68">
        <f t="shared" si="40"/>
        <v>0.19760239652094561</v>
      </c>
      <c r="V28" s="68">
        <f t="shared" si="40"/>
        <v>0.16056060065785371</v>
      </c>
      <c r="W28" s="68">
        <f t="shared" si="40"/>
        <v>0.11182211642191484</v>
      </c>
      <c r="X28" s="68">
        <f t="shared" si="40"/>
        <v>0.20846083976770749</v>
      </c>
      <c r="Y28" s="68">
        <f t="shared" si="40"/>
        <v>0.14060772296747096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0129-5521-49AC-9A7C-8A2C2BFA86F0}">
  <sheetPr>
    <tabColor rgb="FF92D050"/>
  </sheetPr>
  <dimension ref="A1:Q62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RowHeight="12.75"/>
  <cols>
    <col min="1" max="1" width="69.28515625" style="1" bestFit="1" customWidth="1"/>
    <col min="2" max="4" width="10.28515625" style="1" bestFit="1" customWidth="1"/>
    <col min="5" max="5" width="10.28515625" style="1" customWidth="1"/>
    <col min="6" max="6" width="10.28515625" style="1" bestFit="1" customWidth="1"/>
    <col min="7" max="12" width="10.28515625" style="1" customWidth="1"/>
    <col min="13" max="13" width="10.28515625" style="1" bestFit="1" customWidth="1"/>
    <col min="14" max="14" width="9.140625" style="1" customWidth="1"/>
    <col min="15" max="15" width="10.28515625" style="1" customWidth="1"/>
    <col min="16" max="17" width="9.140625" style="1" hidden="1" customWidth="1"/>
    <col min="18" max="16384" width="9.140625" style="1"/>
  </cols>
  <sheetData>
    <row r="1" spans="1:17">
      <c r="A1" s="75"/>
      <c r="B1" s="32" t="s">
        <v>181</v>
      </c>
      <c r="C1" s="32" t="s">
        <v>180</v>
      </c>
      <c r="D1" s="32" t="s">
        <v>37</v>
      </c>
      <c r="E1" s="32" t="s">
        <v>36</v>
      </c>
      <c r="F1" s="32" t="s">
        <v>162</v>
      </c>
      <c r="G1" s="32" t="s">
        <v>31</v>
      </c>
      <c r="H1" s="32" t="s">
        <v>163</v>
      </c>
      <c r="I1" s="32" t="s">
        <v>30</v>
      </c>
      <c r="J1" s="32" t="s">
        <v>1</v>
      </c>
      <c r="K1" s="32" t="s">
        <v>11</v>
      </c>
      <c r="L1" s="32" t="s">
        <v>12</v>
      </c>
      <c r="M1" s="32" t="s">
        <v>94</v>
      </c>
      <c r="N1" s="32" t="s">
        <v>13</v>
      </c>
      <c r="O1" s="32" t="s">
        <v>95</v>
      </c>
      <c r="P1" s="32" t="s">
        <v>14</v>
      </c>
      <c r="Q1" s="32" t="s">
        <v>15</v>
      </c>
    </row>
    <row r="2" spans="1:17">
      <c r="A2" s="75" t="s">
        <v>115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O2" s="76"/>
    </row>
    <row r="3" spans="1:17">
      <c r="A3" s="60" t="s">
        <v>164</v>
      </c>
      <c r="B3" s="78">
        <v>5865</v>
      </c>
      <c r="C3" s="78">
        <v>4770</v>
      </c>
      <c r="D3" s="78">
        <v>-40035</v>
      </c>
      <c r="E3" s="78">
        <f>D3-F3</f>
        <v>-30498</v>
      </c>
      <c r="F3" s="78">
        <v>-9537</v>
      </c>
      <c r="G3" s="78">
        <f>F3-H3</f>
        <v>3633</v>
      </c>
      <c r="H3" s="78">
        <v>-13170</v>
      </c>
      <c r="I3" s="78">
        <f>H3-J3</f>
        <v>-16490</v>
      </c>
      <c r="J3" s="78">
        <v>3320</v>
      </c>
      <c r="K3" s="78">
        <v>46567</v>
      </c>
      <c r="L3" s="78">
        <f>K3-M3</f>
        <v>12201</v>
      </c>
      <c r="M3" s="78">
        <v>34366</v>
      </c>
      <c r="N3" s="78">
        <f>M3-O3</f>
        <v>22285</v>
      </c>
      <c r="O3" s="78">
        <v>12081</v>
      </c>
    </row>
    <row r="4" spans="1:17">
      <c r="A4" s="60" t="s">
        <v>116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7">
      <c r="A5" s="67" t="s">
        <v>117</v>
      </c>
      <c r="B5" s="78">
        <v>1563</v>
      </c>
      <c r="C5" s="78">
        <v>810</v>
      </c>
      <c r="D5" s="78">
        <v>2081</v>
      </c>
      <c r="E5" s="78">
        <f t="shared" ref="E5:E17" si="0">D5-F5</f>
        <v>627</v>
      </c>
      <c r="F5" s="78">
        <v>1454</v>
      </c>
      <c r="G5" s="78">
        <f t="shared" ref="G5:G17" si="1">F5-H5</f>
        <v>374</v>
      </c>
      <c r="H5" s="78">
        <v>1080</v>
      </c>
      <c r="I5" s="78">
        <f t="shared" ref="I5:I17" si="2">H5-J5</f>
        <v>550</v>
      </c>
      <c r="J5" s="78">
        <v>530</v>
      </c>
      <c r="K5" s="78">
        <v>2519</v>
      </c>
      <c r="L5" s="78">
        <f t="shared" ref="L5:L17" si="3">K5-M5</f>
        <v>1313</v>
      </c>
      <c r="M5" s="78">
        <v>1206</v>
      </c>
      <c r="N5" s="78">
        <f t="shared" ref="N5:N17" si="4">M5-O5</f>
        <v>113</v>
      </c>
      <c r="O5" s="78">
        <v>1093</v>
      </c>
    </row>
    <row r="6" spans="1:17">
      <c r="A6" s="77" t="s">
        <v>118</v>
      </c>
      <c r="B6" s="78">
        <v>2659</v>
      </c>
      <c r="C6" s="78">
        <v>2500</v>
      </c>
      <c r="D6" s="78">
        <v>2350</v>
      </c>
      <c r="E6" s="78">
        <f t="shared" si="0"/>
        <v>1764</v>
      </c>
      <c r="F6" s="78">
        <v>586</v>
      </c>
      <c r="G6" s="78">
        <f t="shared" si="1"/>
        <v>0</v>
      </c>
      <c r="H6" s="78">
        <v>586</v>
      </c>
      <c r="I6" s="78">
        <f t="shared" si="2"/>
        <v>233</v>
      </c>
      <c r="J6" s="78">
        <v>353</v>
      </c>
      <c r="K6" s="78">
        <v>1034</v>
      </c>
      <c r="L6" s="78">
        <f t="shared" si="3"/>
        <v>579</v>
      </c>
      <c r="M6" s="78">
        <v>455</v>
      </c>
      <c r="N6" s="78">
        <f t="shared" si="4"/>
        <v>2489</v>
      </c>
      <c r="O6" s="78">
        <v>-2034</v>
      </c>
    </row>
    <row r="7" spans="1:17">
      <c r="A7" s="77" t="s">
        <v>119</v>
      </c>
      <c r="B7" s="78">
        <v>-1870</v>
      </c>
      <c r="C7" s="78">
        <v>-1228</v>
      </c>
      <c r="D7" s="78">
        <v>609</v>
      </c>
      <c r="E7" s="78">
        <f t="shared" ref="E7" si="5">D7-F7</f>
        <v>182</v>
      </c>
      <c r="F7" s="78">
        <v>427</v>
      </c>
      <c r="G7" s="78">
        <f t="shared" ref="G7" si="6">F7-H7</f>
        <v>-459</v>
      </c>
      <c r="H7" s="78">
        <v>886</v>
      </c>
      <c r="I7" s="78">
        <f t="shared" si="2"/>
        <v>741</v>
      </c>
      <c r="J7" s="78">
        <v>145</v>
      </c>
      <c r="K7" s="78">
        <v>1770</v>
      </c>
      <c r="L7" s="78">
        <f t="shared" ref="L7" si="7">K7-M7</f>
        <v>1196</v>
      </c>
      <c r="M7" s="78">
        <v>574</v>
      </c>
      <c r="N7" s="78">
        <f t="shared" ref="N7" si="8">M7-O7</f>
        <v>510</v>
      </c>
      <c r="O7" s="78">
        <v>64</v>
      </c>
    </row>
    <row r="8" spans="1:17">
      <c r="A8" s="77" t="s">
        <v>192</v>
      </c>
      <c r="B8" s="78">
        <v>472</v>
      </c>
      <c r="C8" s="78"/>
      <c r="D8" s="78"/>
      <c r="E8" s="78"/>
      <c r="F8" s="78"/>
      <c r="G8" s="78"/>
      <c r="H8" s="78"/>
      <c r="I8" s="78">
        <f t="shared" si="2"/>
        <v>0</v>
      </c>
      <c r="J8" s="78"/>
      <c r="K8" s="78"/>
      <c r="L8" s="78"/>
      <c r="M8" s="78"/>
      <c r="N8" s="78"/>
      <c r="O8" s="78"/>
    </row>
    <row r="9" spans="1:17">
      <c r="A9" s="77" t="s">
        <v>120</v>
      </c>
      <c r="B9" s="78">
        <v>861</v>
      </c>
      <c r="C9" s="78">
        <v>385</v>
      </c>
      <c r="D9" s="78">
        <v>2096</v>
      </c>
      <c r="E9" s="78">
        <f t="shared" si="0"/>
        <v>-182</v>
      </c>
      <c r="F9" s="78">
        <v>2278</v>
      </c>
      <c r="G9" s="78">
        <f t="shared" si="1"/>
        <v>598</v>
      </c>
      <c r="H9" s="78">
        <v>1680</v>
      </c>
      <c r="I9" s="78">
        <f t="shared" si="2"/>
        <v>1680</v>
      </c>
      <c r="J9" s="78">
        <v>0</v>
      </c>
      <c r="K9" s="78">
        <v>0</v>
      </c>
      <c r="L9" s="78">
        <f t="shared" si="3"/>
        <v>0</v>
      </c>
      <c r="M9" s="78">
        <v>0</v>
      </c>
      <c r="N9" s="78">
        <f t="shared" si="4"/>
        <v>0</v>
      </c>
      <c r="O9" s="78">
        <v>0</v>
      </c>
    </row>
    <row r="10" spans="1:17">
      <c r="A10" s="77" t="s">
        <v>121</v>
      </c>
      <c r="B10" s="78">
        <v>-253</v>
      </c>
      <c r="C10" s="78">
        <v>13</v>
      </c>
      <c r="D10" s="78">
        <v>622</v>
      </c>
      <c r="E10" s="78">
        <f t="shared" si="0"/>
        <v>1132</v>
      </c>
      <c r="F10" s="78">
        <v>-510</v>
      </c>
      <c r="G10" s="78">
        <f t="shared" si="1"/>
        <v>451</v>
      </c>
      <c r="H10" s="78">
        <v>-961</v>
      </c>
      <c r="I10" s="78">
        <f t="shared" si="2"/>
        <v>-1555</v>
      </c>
      <c r="J10" s="78">
        <v>594</v>
      </c>
      <c r="K10" s="78">
        <v>1785</v>
      </c>
      <c r="L10" s="78">
        <f t="shared" si="3"/>
        <v>2524</v>
      </c>
      <c r="M10" s="78">
        <v>-739</v>
      </c>
      <c r="N10" s="78">
        <f t="shared" si="4"/>
        <v>56</v>
      </c>
      <c r="O10" s="78">
        <v>-795</v>
      </c>
    </row>
    <row r="11" spans="1:17">
      <c r="A11" s="77" t="s">
        <v>122</v>
      </c>
      <c r="B11" s="78">
        <v>2634</v>
      </c>
      <c r="C11" s="78">
        <v>1201</v>
      </c>
      <c r="D11" s="78">
        <v>6799</v>
      </c>
      <c r="E11" s="78">
        <f t="shared" si="0"/>
        <v>6523</v>
      </c>
      <c r="F11" s="78">
        <v>276</v>
      </c>
      <c r="G11" s="78">
        <f t="shared" si="1"/>
        <v>-91</v>
      </c>
      <c r="H11" s="78">
        <v>367</v>
      </c>
      <c r="I11" s="78">
        <f t="shared" si="2"/>
        <v>-129</v>
      </c>
      <c r="J11" s="78">
        <v>496</v>
      </c>
      <c r="K11" s="78">
        <v>2100</v>
      </c>
      <c r="L11" s="78">
        <f t="shared" si="3"/>
        <v>491</v>
      </c>
      <c r="M11" s="78">
        <v>1609</v>
      </c>
      <c r="N11" s="78">
        <f t="shared" si="4"/>
        <v>89</v>
      </c>
      <c r="O11" s="78">
        <v>1520</v>
      </c>
    </row>
    <row r="12" spans="1:17">
      <c r="A12" s="77" t="s">
        <v>123</v>
      </c>
      <c r="B12" s="78">
        <v>0</v>
      </c>
      <c r="C12" s="78">
        <v>0</v>
      </c>
      <c r="D12" s="78">
        <v>0</v>
      </c>
      <c r="E12" s="78">
        <f t="shared" si="0"/>
        <v>0</v>
      </c>
      <c r="F12" s="78">
        <v>0</v>
      </c>
      <c r="G12" s="78">
        <f t="shared" si="1"/>
        <v>5</v>
      </c>
      <c r="H12" s="78">
        <v>-5</v>
      </c>
      <c r="I12" s="78">
        <f t="shared" si="2"/>
        <v>-5</v>
      </c>
      <c r="J12" s="78">
        <v>0</v>
      </c>
      <c r="K12" s="78">
        <v>-12</v>
      </c>
      <c r="L12" s="78">
        <f t="shared" si="3"/>
        <v>-12</v>
      </c>
      <c r="M12" s="78">
        <v>0</v>
      </c>
      <c r="N12" s="78">
        <f t="shared" si="4"/>
        <v>0</v>
      </c>
      <c r="O12" s="78"/>
    </row>
    <row r="13" spans="1:17">
      <c r="A13" s="67" t="s">
        <v>124</v>
      </c>
      <c r="B13" s="78">
        <v>9971</v>
      </c>
      <c r="C13" s="78">
        <v>4585</v>
      </c>
      <c r="D13" s="78">
        <v>10030</v>
      </c>
      <c r="E13" s="78">
        <f t="shared" si="0"/>
        <v>3164</v>
      </c>
      <c r="F13" s="78">
        <v>6866</v>
      </c>
      <c r="G13" s="78">
        <f t="shared" si="1"/>
        <v>-2405</v>
      </c>
      <c r="H13" s="78">
        <v>9271</v>
      </c>
      <c r="I13" s="78">
        <f t="shared" si="2"/>
        <v>5673</v>
      </c>
      <c r="J13" s="78">
        <v>3598</v>
      </c>
      <c r="K13" s="78">
        <v>13954</v>
      </c>
      <c r="L13" s="78">
        <f t="shared" si="3"/>
        <v>-5178</v>
      </c>
      <c r="M13" s="78">
        <v>19132</v>
      </c>
      <c r="N13" s="78">
        <f t="shared" si="4"/>
        <v>6540</v>
      </c>
      <c r="O13" s="78">
        <v>12592</v>
      </c>
    </row>
    <row r="14" spans="1:17">
      <c r="A14" s="67" t="s">
        <v>125</v>
      </c>
      <c r="B14" s="78">
        <v>4336</v>
      </c>
      <c r="C14" s="78">
        <v>3077</v>
      </c>
      <c r="D14" s="78">
        <v>1632</v>
      </c>
      <c r="E14" s="78">
        <f t="shared" si="0"/>
        <v>1632</v>
      </c>
      <c r="F14" s="78">
        <v>0</v>
      </c>
      <c r="G14" s="78">
        <f t="shared" si="1"/>
        <v>0</v>
      </c>
      <c r="H14" s="78"/>
      <c r="I14" s="78">
        <f t="shared" si="2"/>
        <v>-110</v>
      </c>
      <c r="J14" s="78">
        <v>110</v>
      </c>
      <c r="K14" s="78">
        <v>3650</v>
      </c>
      <c r="L14" s="78">
        <f t="shared" si="3"/>
        <v>3650</v>
      </c>
      <c r="M14" s="78">
        <v>0</v>
      </c>
      <c r="N14" s="78">
        <f t="shared" si="4"/>
        <v>0</v>
      </c>
      <c r="O14" s="78"/>
    </row>
    <row r="15" spans="1:17">
      <c r="A15" s="67" t="s">
        <v>126</v>
      </c>
      <c r="B15" s="78">
        <v>0</v>
      </c>
      <c r="C15" s="78">
        <v>0</v>
      </c>
      <c r="D15" s="78">
        <v>-2995</v>
      </c>
      <c r="E15" s="78">
        <f t="shared" si="0"/>
        <v>3248</v>
      </c>
      <c r="F15" s="78">
        <v>-6243</v>
      </c>
      <c r="G15" s="78">
        <f t="shared" si="1"/>
        <v>-6243</v>
      </c>
      <c r="H15" s="78"/>
      <c r="I15" s="78">
        <f t="shared" si="2"/>
        <v>0</v>
      </c>
      <c r="J15" s="78">
        <v>0</v>
      </c>
      <c r="K15" s="78">
        <v>0</v>
      </c>
      <c r="L15" s="78">
        <f t="shared" si="3"/>
        <v>0</v>
      </c>
      <c r="M15" s="78">
        <v>0</v>
      </c>
      <c r="N15" s="78">
        <f t="shared" si="4"/>
        <v>0</v>
      </c>
      <c r="O15" s="78"/>
    </row>
    <row r="16" spans="1:17">
      <c r="A16" s="67" t="s">
        <v>127</v>
      </c>
      <c r="B16" s="78">
        <v>0</v>
      </c>
      <c r="C16" s="78">
        <v>0</v>
      </c>
      <c r="D16" s="78">
        <v>-6446</v>
      </c>
      <c r="E16" s="78">
        <f t="shared" si="0"/>
        <v>-6446</v>
      </c>
      <c r="F16" s="78"/>
      <c r="G16" s="78">
        <f t="shared" si="1"/>
        <v>0</v>
      </c>
      <c r="H16" s="78"/>
      <c r="I16" s="78">
        <f t="shared" si="2"/>
        <v>0</v>
      </c>
      <c r="J16" s="78">
        <v>0</v>
      </c>
      <c r="K16" s="78">
        <v>0</v>
      </c>
      <c r="L16" s="78">
        <f t="shared" si="3"/>
        <v>0</v>
      </c>
      <c r="M16" s="78">
        <v>0</v>
      </c>
      <c r="N16" s="78">
        <f t="shared" si="4"/>
        <v>0</v>
      </c>
      <c r="O16" s="78"/>
    </row>
    <row r="17" spans="1:15">
      <c r="A17" s="67" t="s">
        <v>128</v>
      </c>
      <c r="B17" s="78">
        <v>0</v>
      </c>
      <c r="C17" s="78">
        <v>0</v>
      </c>
      <c r="D17" s="78">
        <v>-1257</v>
      </c>
      <c r="E17" s="78">
        <f t="shared" si="0"/>
        <v>0</v>
      </c>
      <c r="F17" s="78">
        <v>-1257</v>
      </c>
      <c r="G17" s="78">
        <f t="shared" si="1"/>
        <v>-1257</v>
      </c>
      <c r="H17" s="78"/>
      <c r="I17" s="78">
        <f t="shared" si="2"/>
        <v>0</v>
      </c>
      <c r="J17" s="78">
        <v>0</v>
      </c>
      <c r="K17" s="78">
        <v>0</v>
      </c>
      <c r="L17" s="78">
        <f t="shared" si="3"/>
        <v>0</v>
      </c>
      <c r="M17" s="78">
        <v>0</v>
      </c>
      <c r="N17" s="78">
        <f t="shared" si="4"/>
        <v>0</v>
      </c>
      <c r="O17" s="78"/>
    </row>
    <row r="18" spans="1:15">
      <c r="A18" s="67"/>
      <c r="B18" s="79">
        <f t="shared" ref="B18:O18" si="9">SUM(B3:B17)</f>
        <v>26238</v>
      </c>
      <c r="C18" s="79">
        <f t="shared" si="9"/>
        <v>16113</v>
      </c>
      <c r="D18" s="79">
        <f t="shared" si="9"/>
        <v>-24514</v>
      </c>
      <c r="E18" s="79">
        <f t="shared" si="9"/>
        <v>-18854</v>
      </c>
      <c r="F18" s="79">
        <f t="shared" si="9"/>
        <v>-5660</v>
      </c>
      <c r="G18" s="79">
        <f t="shared" si="9"/>
        <v>-5394</v>
      </c>
      <c r="H18" s="79">
        <f t="shared" si="9"/>
        <v>-266</v>
      </c>
      <c r="I18" s="79">
        <f t="shared" si="9"/>
        <v>-9412</v>
      </c>
      <c r="J18" s="79">
        <f t="shared" si="9"/>
        <v>9146</v>
      </c>
      <c r="K18" s="79">
        <f t="shared" si="9"/>
        <v>73367</v>
      </c>
      <c r="L18" s="79">
        <f t="shared" si="9"/>
        <v>16764</v>
      </c>
      <c r="M18" s="79">
        <f t="shared" si="9"/>
        <v>56603</v>
      </c>
      <c r="N18" s="79">
        <f t="shared" si="9"/>
        <v>32082</v>
      </c>
      <c r="O18" s="79">
        <f t="shared" si="9"/>
        <v>24521</v>
      </c>
    </row>
    <row r="19" spans="1:15">
      <c r="A19" s="75" t="s">
        <v>129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>
      <c r="A20" s="67" t="s">
        <v>130</v>
      </c>
      <c r="B20" s="78">
        <v>-72401</v>
      </c>
      <c r="C20" s="78">
        <v>-41725</v>
      </c>
      <c r="D20" s="78">
        <v>12028</v>
      </c>
      <c r="E20" s="78">
        <f>D20-F20</f>
        <v>11143</v>
      </c>
      <c r="F20" s="78">
        <v>885</v>
      </c>
      <c r="G20" s="78">
        <f>F20-H20</f>
        <v>4250</v>
      </c>
      <c r="H20" s="78">
        <v>-3365</v>
      </c>
      <c r="I20" s="78">
        <f t="shared" ref="I20:I22" si="10">H20-J20</f>
        <v>6457</v>
      </c>
      <c r="J20" s="78">
        <v>-9822</v>
      </c>
      <c r="K20" s="78">
        <v>-63933</v>
      </c>
      <c r="L20" s="78">
        <f>K20-M20</f>
        <v>-22447</v>
      </c>
      <c r="M20" s="78">
        <v>-41486</v>
      </c>
      <c r="N20" s="78">
        <f>M20-O20</f>
        <v>-27469</v>
      </c>
      <c r="O20" s="78">
        <v>-14017</v>
      </c>
    </row>
    <row r="21" spans="1:15">
      <c r="A21" s="67" t="s">
        <v>131</v>
      </c>
      <c r="B21" s="78">
        <v>1296</v>
      </c>
      <c r="C21" s="78">
        <v>-5892</v>
      </c>
      <c r="D21" s="78">
        <v>-54885</v>
      </c>
      <c r="E21" s="78">
        <f>D21-F21</f>
        <v>7264</v>
      </c>
      <c r="F21" s="78">
        <v>-62149</v>
      </c>
      <c r="G21" s="78">
        <f>F21-H21</f>
        <v>22477</v>
      </c>
      <c r="H21" s="78">
        <v>-84626</v>
      </c>
      <c r="I21" s="78">
        <f t="shared" si="10"/>
        <v>-12401</v>
      </c>
      <c r="J21" s="78">
        <v>-72225</v>
      </c>
      <c r="K21" s="78">
        <v>-233656</v>
      </c>
      <c r="L21" s="78">
        <f>K21-M21</f>
        <v>-31608</v>
      </c>
      <c r="M21" s="78">
        <v>-202048</v>
      </c>
      <c r="N21" s="78">
        <f>M21-O21</f>
        <v>-690</v>
      </c>
      <c r="O21" s="78">
        <v>-201358</v>
      </c>
    </row>
    <row r="22" spans="1:15">
      <c r="A22" s="67" t="s">
        <v>132</v>
      </c>
      <c r="B22" s="78">
        <v>-3225</v>
      </c>
      <c r="C22" s="78">
        <v>-450</v>
      </c>
      <c r="D22" s="78">
        <v>-3148</v>
      </c>
      <c r="E22" s="78">
        <f>D22-F22</f>
        <v>-486</v>
      </c>
      <c r="F22" s="78">
        <v>-2662</v>
      </c>
      <c r="G22" s="78">
        <f>F22-H22</f>
        <v>-4686</v>
      </c>
      <c r="H22" s="78">
        <v>2024</v>
      </c>
      <c r="I22" s="78">
        <f t="shared" si="10"/>
        <v>420</v>
      </c>
      <c r="J22" s="78">
        <v>1604</v>
      </c>
      <c r="K22" s="78">
        <v>-2381</v>
      </c>
      <c r="L22" s="78">
        <f>K22-M22</f>
        <v>9371</v>
      </c>
      <c r="M22" s="78">
        <v>-11752</v>
      </c>
      <c r="N22" s="78">
        <f>M22-O22</f>
        <v>-2526</v>
      </c>
      <c r="O22" s="78">
        <v>-9226</v>
      </c>
    </row>
    <row r="23" spans="1:15">
      <c r="A23" s="75" t="s">
        <v>133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1:15">
      <c r="A24" s="67" t="s">
        <v>134</v>
      </c>
      <c r="B24" s="78">
        <v>18582</v>
      </c>
      <c r="C24" s="78">
        <v>5672</v>
      </c>
      <c r="D24" s="78">
        <v>5563</v>
      </c>
      <c r="E24" s="78">
        <f t="shared" ref="E24:E31" si="11">D24-F24</f>
        <v>1627</v>
      </c>
      <c r="F24" s="78">
        <v>3936</v>
      </c>
      <c r="G24" s="78">
        <f t="shared" ref="G24:G32" si="12">F24-H24</f>
        <v>-2050</v>
      </c>
      <c r="H24" s="78">
        <v>5986</v>
      </c>
      <c r="I24" s="78">
        <f t="shared" ref="I24:I31" si="13">H24-J24</f>
        <v>3627</v>
      </c>
      <c r="J24" s="78">
        <v>2359</v>
      </c>
      <c r="K24" s="78">
        <v>-13482</v>
      </c>
      <c r="L24" s="78">
        <f t="shared" ref="L24:L31" si="14">K24-M24</f>
        <v>-28646</v>
      </c>
      <c r="M24" s="78">
        <v>15164</v>
      </c>
      <c r="N24" s="78">
        <f t="shared" ref="N24:N32" si="15">M24-O24</f>
        <v>6394</v>
      </c>
      <c r="O24" s="78">
        <v>8770</v>
      </c>
    </row>
    <row r="25" spans="1:15">
      <c r="A25" s="67" t="s">
        <v>135</v>
      </c>
      <c r="B25" s="78">
        <v>8169</v>
      </c>
      <c r="C25" s="78">
        <v>2807</v>
      </c>
      <c r="D25" s="78">
        <v>8488</v>
      </c>
      <c r="E25" s="78">
        <f t="shared" si="11"/>
        <v>1245</v>
      </c>
      <c r="F25" s="78">
        <v>7243</v>
      </c>
      <c r="G25" s="78">
        <f t="shared" si="12"/>
        <v>1932</v>
      </c>
      <c r="H25" s="78">
        <v>5311</v>
      </c>
      <c r="I25" s="78">
        <f t="shared" si="13"/>
        <v>3729</v>
      </c>
      <c r="J25" s="78">
        <v>1582</v>
      </c>
      <c r="K25" s="78">
        <v>7523</v>
      </c>
      <c r="L25" s="78">
        <f t="shared" si="14"/>
        <v>3313</v>
      </c>
      <c r="M25" s="78">
        <v>4210</v>
      </c>
      <c r="N25" s="78">
        <f t="shared" si="15"/>
        <v>2833</v>
      </c>
      <c r="O25" s="78">
        <v>1377</v>
      </c>
    </row>
    <row r="26" spans="1:15">
      <c r="A26" s="67" t="s">
        <v>136</v>
      </c>
      <c r="B26" s="78">
        <v>2029</v>
      </c>
      <c r="C26" s="78">
        <v>1445</v>
      </c>
      <c r="D26" s="78">
        <v>1376</v>
      </c>
      <c r="E26" s="78">
        <f t="shared" si="11"/>
        <v>-2088</v>
      </c>
      <c r="F26" s="78">
        <v>3464</v>
      </c>
      <c r="G26" s="78">
        <f t="shared" si="12"/>
        <v>586</v>
      </c>
      <c r="H26" s="78">
        <v>2878</v>
      </c>
      <c r="I26" s="78">
        <f t="shared" si="13"/>
        <v>2844</v>
      </c>
      <c r="J26" s="78">
        <v>34</v>
      </c>
      <c r="K26" s="78">
        <v>927</v>
      </c>
      <c r="L26" s="78">
        <f t="shared" si="14"/>
        <v>-521</v>
      </c>
      <c r="M26" s="78">
        <v>1448</v>
      </c>
      <c r="N26" s="78">
        <f t="shared" si="15"/>
        <v>790</v>
      </c>
      <c r="O26" s="78">
        <v>658</v>
      </c>
    </row>
    <row r="27" spans="1:15">
      <c r="A27" s="67" t="s">
        <v>137</v>
      </c>
      <c r="B27" s="78">
        <v>7384</v>
      </c>
      <c r="C27" s="78">
        <v>11556</v>
      </c>
      <c r="D27" s="78">
        <v>80163</v>
      </c>
      <c r="E27" s="78">
        <f t="shared" si="11"/>
        <v>6469</v>
      </c>
      <c r="F27" s="78">
        <v>73694</v>
      </c>
      <c r="G27" s="78">
        <f t="shared" si="12"/>
        <v>-5848</v>
      </c>
      <c r="H27" s="78">
        <v>79542</v>
      </c>
      <c r="I27" s="78">
        <f t="shared" si="13"/>
        <v>5459</v>
      </c>
      <c r="J27" s="78">
        <v>74083</v>
      </c>
      <c r="K27" s="78">
        <v>194255</v>
      </c>
      <c r="L27" s="78">
        <f t="shared" si="14"/>
        <v>36919</v>
      </c>
      <c r="M27" s="78">
        <v>157336</v>
      </c>
      <c r="N27" s="78">
        <f t="shared" si="15"/>
        <v>30316</v>
      </c>
      <c r="O27" s="78">
        <v>127020</v>
      </c>
    </row>
    <row r="28" spans="1:15">
      <c r="A28" s="67" t="s">
        <v>122</v>
      </c>
      <c r="B28" s="78">
        <v>-1119</v>
      </c>
      <c r="C28" s="78">
        <v>-813</v>
      </c>
      <c r="D28" s="78">
        <v>-3351</v>
      </c>
      <c r="E28" s="78">
        <f t="shared" si="11"/>
        <v>-3351</v>
      </c>
      <c r="F28" s="78">
        <v>0</v>
      </c>
      <c r="G28" s="78">
        <f t="shared" si="12"/>
        <v>0</v>
      </c>
      <c r="H28" s="78"/>
      <c r="I28" s="78">
        <f t="shared" si="13"/>
        <v>0</v>
      </c>
      <c r="J28" s="78">
        <v>0</v>
      </c>
      <c r="K28" s="78">
        <v>-1611</v>
      </c>
      <c r="L28" s="78">
        <f t="shared" si="14"/>
        <v>-1611</v>
      </c>
      <c r="M28" s="78"/>
      <c r="N28" s="78">
        <f t="shared" si="15"/>
        <v>0</v>
      </c>
      <c r="O28" s="78"/>
    </row>
    <row r="29" spans="1:15">
      <c r="A29" s="67" t="s">
        <v>138</v>
      </c>
      <c r="B29" s="78">
        <v>3382</v>
      </c>
      <c r="C29" s="78">
        <v>1685</v>
      </c>
      <c r="D29" s="78">
        <v>-14184</v>
      </c>
      <c r="E29" s="78">
        <f t="shared" si="11"/>
        <v>-14184</v>
      </c>
      <c r="F29" s="78">
        <v>0</v>
      </c>
      <c r="G29" s="78">
        <f t="shared" si="12"/>
        <v>0</v>
      </c>
      <c r="H29" s="78"/>
      <c r="I29" s="78">
        <f t="shared" si="13"/>
        <v>0</v>
      </c>
      <c r="J29" s="78">
        <v>0</v>
      </c>
      <c r="K29" s="78">
        <v>3605</v>
      </c>
      <c r="L29" s="78">
        <f t="shared" si="14"/>
        <v>3605</v>
      </c>
      <c r="M29" s="78"/>
      <c r="N29" s="78">
        <f t="shared" si="15"/>
        <v>0</v>
      </c>
      <c r="O29" s="78"/>
    </row>
    <row r="30" spans="1:15">
      <c r="A30" s="67" t="s">
        <v>139</v>
      </c>
      <c r="B30" s="78">
        <v>5</v>
      </c>
      <c r="C30" s="78">
        <v>150</v>
      </c>
      <c r="D30" s="78">
        <v>-541</v>
      </c>
      <c r="E30" s="78">
        <f t="shared" si="11"/>
        <v>2286</v>
      </c>
      <c r="F30" s="78">
        <v>-2827</v>
      </c>
      <c r="G30" s="78">
        <f t="shared" si="12"/>
        <v>-3514</v>
      </c>
      <c r="H30" s="78">
        <v>687</v>
      </c>
      <c r="I30" s="78">
        <f t="shared" si="13"/>
        <v>1867</v>
      </c>
      <c r="J30" s="78">
        <v>-1180</v>
      </c>
      <c r="K30" s="78">
        <v>-847</v>
      </c>
      <c r="L30" s="78">
        <f t="shared" si="14"/>
        <v>18876</v>
      </c>
      <c r="M30" s="78">
        <v>-19723</v>
      </c>
      <c r="N30" s="78">
        <f t="shared" si="15"/>
        <v>-54218</v>
      </c>
      <c r="O30" s="78">
        <v>34495</v>
      </c>
    </row>
    <row r="31" spans="1:15">
      <c r="A31" s="67" t="s">
        <v>140</v>
      </c>
      <c r="B31" s="78">
        <v>-10119</v>
      </c>
      <c r="C31" s="78">
        <v>-6462</v>
      </c>
      <c r="D31" s="78">
        <v>-27370</v>
      </c>
      <c r="E31" s="78">
        <f t="shared" si="11"/>
        <v>-2811</v>
      </c>
      <c r="F31" s="78">
        <v>-24559</v>
      </c>
      <c r="G31" s="78">
        <f t="shared" si="12"/>
        <v>-10534</v>
      </c>
      <c r="H31" s="78">
        <v>-14025</v>
      </c>
      <c r="I31" s="78">
        <f t="shared" si="13"/>
        <v>-10014</v>
      </c>
      <c r="J31" s="78">
        <v>-4011</v>
      </c>
      <c r="K31" s="78">
        <v>-18137</v>
      </c>
      <c r="L31" s="78">
        <f t="shared" si="14"/>
        <v>-6095</v>
      </c>
      <c r="M31" s="78">
        <v>-12042</v>
      </c>
      <c r="N31" s="78">
        <f t="shared" si="15"/>
        <v>-3162</v>
      </c>
      <c r="O31" s="78">
        <v>-8880</v>
      </c>
    </row>
    <row r="32" spans="1:15">
      <c r="A32" s="67"/>
      <c r="B32" s="80"/>
      <c r="C32" s="80"/>
      <c r="D32" s="80"/>
      <c r="E32" s="80"/>
      <c r="F32" s="80"/>
      <c r="G32" s="80">
        <f t="shared" si="12"/>
        <v>0</v>
      </c>
      <c r="H32" s="80"/>
      <c r="I32" s="80"/>
      <c r="J32" s="80"/>
      <c r="K32" s="78"/>
      <c r="L32" s="78"/>
      <c r="M32" s="80"/>
      <c r="N32" s="80">
        <f t="shared" si="15"/>
        <v>0</v>
      </c>
      <c r="O32" s="80"/>
    </row>
    <row r="33" spans="1:15">
      <c r="A33" s="75" t="s">
        <v>141</v>
      </c>
      <c r="B33" s="81">
        <f t="shared" ref="B33" si="16">SUM(B18:B31)</f>
        <v>-19779</v>
      </c>
      <c r="C33" s="81">
        <f t="shared" ref="C33:O33" si="17">SUM(C18:C31)</f>
        <v>-15914</v>
      </c>
      <c r="D33" s="81">
        <f t="shared" si="17"/>
        <v>-20375</v>
      </c>
      <c r="E33" s="81">
        <f t="shared" si="17"/>
        <v>-11740</v>
      </c>
      <c r="F33" s="81">
        <f t="shared" si="17"/>
        <v>-8635</v>
      </c>
      <c r="G33" s="81">
        <f t="shared" si="17"/>
        <v>-2781</v>
      </c>
      <c r="H33" s="81">
        <f t="shared" si="17"/>
        <v>-5854</v>
      </c>
      <c r="I33" s="81">
        <f t="shared" si="17"/>
        <v>-7424</v>
      </c>
      <c r="J33" s="81">
        <f t="shared" si="17"/>
        <v>1570</v>
      </c>
      <c r="K33" s="81">
        <f t="shared" si="17"/>
        <v>-54370</v>
      </c>
      <c r="L33" s="81">
        <f t="shared" si="17"/>
        <v>-2080</v>
      </c>
      <c r="M33" s="81">
        <f t="shared" si="17"/>
        <v>-52290</v>
      </c>
      <c r="N33" s="81">
        <f t="shared" si="17"/>
        <v>-15650</v>
      </c>
      <c r="O33" s="81">
        <f t="shared" si="17"/>
        <v>-36640</v>
      </c>
    </row>
    <row r="34" spans="1: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>
      <c r="A35" s="75" t="s">
        <v>142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>
      <c r="A36" s="67" t="s">
        <v>143</v>
      </c>
      <c r="B36" s="78">
        <v>11940</v>
      </c>
      <c r="C36" s="78">
        <v>11715</v>
      </c>
      <c r="D36" s="78">
        <v>4990</v>
      </c>
      <c r="E36" s="78">
        <f t="shared" ref="E36:E45" si="18">D36-F36</f>
        <v>-11803</v>
      </c>
      <c r="F36" s="78">
        <v>16793</v>
      </c>
      <c r="G36" s="78">
        <f t="shared" ref="G36:G45" si="19">F36-H36</f>
        <v>1161</v>
      </c>
      <c r="H36" s="78">
        <v>15632</v>
      </c>
      <c r="I36" s="78">
        <f t="shared" ref="I36:I45" si="20">H36-J36</f>
        <v>14889</v>
      </c>
      <c r="J36" s="78">
        <v>743</v>
      </c>
      <c r="K36" s="78">
        <v>37339</v>
      </c>
      <c r="L36" s="78">
        <f t="shared" ref="L36:L45" si="21">K36-M36</f>
        <v>-121</v>
      </c>
      <c r="M36" s="78">
        <v>37460</v>
      </c>
      <c r="N36" s="78">
        <f t="shared" ref="N36:N45" si="22">M36-O36</f>
        <v>2153</v>
      </c>
      <c r="O36" s="78">
        <v>35307</v>
      </c>
    </row>
    <row r="37" spans="1:15">
      <c r="A37" s="67" t="s">
        <v>144</v>
      </c>
      <c r="B37" s="78">
        <v>-1200</v>
      </c>
      <c r="C37" s="78">
        <v>-1200</v>
      </c>
      <c r="D37" s="78">
        <v>-19742</v>
      </c>
      <c r="E37" s="78">
        <f t="shared" si="18"/>
        <v>-4123</v>
      </c>
      <c r="F37" s="78">
        <v>-15619</v>
      </c>
      <c r="G37" s="78">
        <f t="shared" si="19"/>
        <v>-3730</v>
      </c>
      <c r="H37" s="78">
        <v>-11889</v>
      </c>
      <c r="I37" s="78">
        <f t="shared" si="20"/>
        <v>-4125</v>
      </c>
      <c r="J37" s="78">
        <v>-7764</v>
      </c>
      <c r="K37" s="78">
        <v>-34</v>
      </c>
      <c r="L37" s="78">
        <f t="shared" si="21"/>
        <v>-34</v>
      </c>
      <c r="M37" s="78">
        <v>0</v>
      </c>
      <c r="N37" s="78">
        <f t="shared" si="22"/>
        <v>0</v>
      </c>
      <c r="O37" s="78"/>
    </row>
    <row r="38" spans="1:15">
      <c r="A38" s="67" t="s">
        <v>145</v>
      </c>
      <c r="B38" s="78">
        <v>0</v>
      </c>
      <c r="C38" s="78">
        <v>0</v>
      </c>
      <c r="D38" s="78">
        <v>286</v>
      </c>
      <c r="E38" s="78">
        <f t="shared" si="18"/>
        <v>0</v>
      </c>
      <c r="F38" s="78">
        <v>286</v>
      </c>
      <c r="G38" s="78">
        <f t="shared" si="19"/>
        <v>286</v>
      </c>
      <c r="H38" s="78"/>
      <c r="I38" s="78">
        <f t="shared" si="20"/>
        <v>0</v>
      </c>
      <c r="J38" s="78">
        <v>0</v>
      </c>
      <c r="K38" s="78">
        <v>0</v>
      </c>
      <c r="L38" s="78">
        <f t="shared" si="21"/>
        <v>0</v>
      </c>
      <c r="M38" s="78">
        <v>0</v>
      </c>
      <c r="N38" s="78">
        <f t="shared" si="22"/>
        <v>-1805</v>
      </c>
      <c r="O38" s="78">
        <v>1805</v>
      </c>
    </row>
    <row r="39" spans="1:15">
      <c r="A39" s="67" t="s">
        <v>146</v>
      </c>
      <c r="B39" s="78">
        <v>0</v>
      </c>
      <c r="C39" s="78">
        <v>0</v>
      </c>
      <c r="D39" s="78">
        <v>0</v>
      </c>
      <c r="E39" s="78">
        <f t="shared" si="18"/>
        <v>0</v>
      </c>
      <c r="F39" s="78"/>
      <c r="G39" s="78">
        <f t="shared" si="19"/>
        <v>0</v>
      </c>
      <c r="H39" s="78"/>
      <c r="I39" s="78">
        <f t="shared" si="20"/>
        <v>0</v>
      </c>
      <c r="J39" s="78">
        <v>0</v>
      </c>
      <c r="K39" s="78">
        <v>0</v>
      </c>
      <c r="L39" s="78">
        <f t="shared" si="21"/>
        <v>0</v>
      </c>
      <c r="M39" s="78">
        <v>0</v>
      </c>
      <c r="N39" s="78">
        <f t="shared" si="22"/>
        <v>0</v>
      </c>
      <c r="O39" s="78"/>
    </row>
    <row r="40" spans="1:15">
      <c r="A40" s="60" t="s">
        <v>147</v>
      </c>
      <c r="B40" s="78">
        <v>-1217</v>
      </c>
      <c r="C40" s="78">
        <v>-685</v>
      </c>
      <c r="D40" s="78">
        <v>-4504</v>
      </c>
      <c r="E40" s="78">
        <f t="shared" si="18"/>
        <v>-371</v>
      </c>
      <c r="F40" s="78">
        <v>-4133</v>
      </c>
      <c r="G40" s="78">
        <f t="shared" si="19"/>
        <v>-558</v>
      </c>
      <c r="H40" s="78">
        <v>-3575</v>
      </c>
      <c r="I40" s="78">
        <f t="shared" si="20"/>
        <v>-981</v>
      </c>
      <c r="J40" s="78">
        <v>-2594</v>
      </c>
      <c r="K40" s="78">
        <v>-2118</v>
      </c>
      <c r="L40" s="78">
        <f t="shared" si="21"/>
        <v>1295</v>
      </c>
      <c r="M40" s="78">
        <v>-3413</v>
      </c>
      <c r="N40" s="78">
        <f t="shared" si="22"/>
        <v>-3413</v>
      </c>
      <c r="O40" s="78"/>
    </row>
    <row r="41" spans="1:15">
      <c r="A41" s="60" t="s">
        <v>191</v>
      </c>
      <c r="B41" s="78">
        <v>-1160</v>
      </c>
      <c r="C41" s="78">
        <v>-526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f t="shared" si="20"/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/>
    </row>
    <row r="42" spans="1:15">
      <c r="A42" s="60" t="s">
        <v>165</v>
      </c>
      <c r="B42" s="78">
        <v>0</v>
      </c>
      <c r="C42" s="78">
        <v>0</v>
      </c>
      <c r="D42" s="78"/>
      <c r="E42" s="78">
        <f t="shared" si="18"/>
        <v>-217</v>
      </c>
      <c r="F42" s="78">
        <v>217</v>
      </c>
      <c r="G42" s="78">
        <f t="shared" si="19"/>
        <v>19</v>
      </c>
      <c r="H42" s="78">
        <v>198</v>
      </c>
      <c r="I42" s="78">
        <f t="shared" si="20"/>
        <v>198</v>
      </c>
      <c r="J42" s="78">
        <v>0</v>
      </c>
      <c r="K42" s="78"/>
      <c r="L42" s="78">
        <f t="shared" si="21"/>
        <v>-71</v>
      </c>
      <c r="M42" s="78">
        <v>71</v>
      </c>
      <c r="N42" s="78">
        <f t="shared" si="22"/>
        <v>71</v>
      </c>
      <c r="O42" s="78"/>
    </row>
    <row r="43" spans="1:15">
      <c r="A43" s="60" t="s">
        <v>148</v>
      </c>
      <c r="B43" s="78">
        <v>0</v>
      </c>
      <c r="C43" s="78">
        <v>0</v>
      </c>
      <c r="D43" s="78">
        <v>11826</v>
      </c>
      <c r="E43" s="78">
        <f t="shared" si="18"/>
        <v>0</v>
      </c>
      <c r="F43" s="78">
        <v>11826</v>
      </c>
      <c r="G43" s="78">
        <f t="shared" si="19"/>
        <v>11826</v>
      </c>
      <c r="H43" s="78"/>
      <c r="I43" s="78">
        <f t="shared" si="20"/>
        <v>0</v>
      </c>
      <c r="J43" s="78">
        <v>0</v>
      </c>
      <c r="K43" s="78">
        <v>0</v>
      </c>
      <c r="L43" s="78">
        <f t="shared" si="21"/>
        <v>0</v>
      </c>
      <c r="M43" s="78">
        <v>0</v>
      </c>
      <c r="N43" s="78">
        <f t="shared" si="22"/>
        <v>0</v>
      </c>
      <c r="O43" s="78"/>
    </row>
    <row r="44" spans="1:15">
      <c r="A44" s="60" t="s">
        <v>149</v>
      </c>
      <c r="B44" s="78">
        <v>0</v>
      </c>
      <c r="C44" s="78">
        <v>0</v>
      </c>
      <c r="D44" s="78">
        <v>0</v>
      </c>
      <c r="E44" s="78">
        <f t="shared" si="18"/>
        <v>0</v>
      </c>
      <c r="F44" s="78">
        <v>0</v>
      </c>
      <c r="G44" s="78">
        <f t="shared" si="19"/>
        <v>0</v>
      </c>
      <c r="H44" s="78"/>
      <c r="I44" s="78">
        <f t="shared" si="20"/>
        <v>0</v>
      </c>
      <c r="J44" s="78">
        <v>0</v>
      </c>
      <c r="K44" s="78">
        <v>5</v>
      </c>
      <c r="L44" s="78">
        <f t="shared" si="21"/>
        <v>10</v>
      </c>
      <c r="M44" s="78">
        <v>-5</v>
      </c>
      <c r="N44" s="78">
        <f t="shared" si="22"/>
        <v>0</v>
      </c>
      <c r="O44" s="78">
        <v>-5</v>
      </c>
    </row>
    <row r="45" spans="1:15">
      <c r="A45" s="60" t="s">
        <v>150</v>
      </c>
      <c r="B45" s="78">
        <v>0</v>
      </c>
      <c r="C45" s="78">
        <v>0</v>
      </c>
      <c r="D45" s="78">
        <v>-34</v>
      </c>
      <c r="E45" s="78">
        <f t="shared" si="18"/>
        <v>-2</v>
      </c>
      <c r="F45" s="78">
        <v>-32</v>
      </c>
      <c r="G45" s="78">
        <f t="shared" si="19"/>
        <v>-32</v>
      </c>
      <c r="H45" s="78"/>
      <c r="I45" s="78">
        <f t="shared" si="20"/>
        <v>0</v>
      </c>
      <c r="J45" s="78">
        <v>0</v>
      </c>
      <c r="K45" s="78">
        <v>0</v>
      </c>
      <c r="L45" s="78">
        <f t="shared" si="21"/>
        <v>0</v>
      </c>
      <c r="M45" s="78">
        <v>0</v>
      </c>
      <c r="N45" s="78">
        <f t="shared" si="22"/>
        <v>0</v>
      </c>
      <c r="O45" s="78"/>
    </row>
    <row r="46" spans="1:15">
      <c r="A46" s="75" t="s">
        <v>151</v>
      </c>
      <c r="B46" s="81">
        <f>SUM(B36:B45)</f>
        <v>8363</v>
      </c>
      <c r="C46" s="81">
        <f>SUM(C36:C45)</f>
        <v>9304</v>
      </c>
      <c r="D46" s="81">
        <f>SUM(D36:D45)</f>
        <v>-7178</v>
      </c>
      <c r="E46" s="81">
        <f t="shared" ref="E46:O46" si="23">SUM(E36:E45)</f>
        <v>-16516</v>
      </c>
      <c r="F46" s="81">
        <f t="shared" si="23"/>
        <v>9338</v>
      </c>
      <c r="G46" s="81">
        <f t="shared" si="23"/>
        <v>8972</v>
      </c>
      <c r="H46" s="81">
        <f t="shared" si="23"/>
        <v>366</v>
      </c>
      <c r="I46" s="81">
        <f t="shared" si="23"/>
        <v>9981</v>
      </c>
      <c r="J46" s="81">
        <f t="shared" si="23"/>
        <v>-9615</v>
      </c>
      <c r="K46" s="81">
        <f t="shared" si="23"/>
        <v>35192</v>
      </c>
      <c r="L46" s="81">
        <f t="shared" si="23"/>
        <v>1079</v>
      </c>
      <c r="M46" s="81">
        <f t="shared" si="23"/>
        <v>34113</v>
      </c>
      <c r="N46" s="81">
        <f t="shared" si="23"/>
        <v>-2994</v>
      </c>
      <c r="O46" s="81">
        <f t="shared" si="23"/>
        <v>37107</v>
      </c>
    </row>
    <row r="47" spans="1:15">
      <c r="A47" s="6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>
      <c r="A48" s="75" t="s">
        <v>152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>
      <c r="A49" s="60" t="s">
        <v>153</v>
      </c>
      <c r="B49" s="78">
        <v>63005</v>
      </c>
      <c r="C49" s="78">
        <v>22478</v>
      </c>
      <c r="D49" s="78">
        <v>219060</v>
      </c>
      <c r="E49" s="78">
        <f>D49-F49</f>
        <v>101234</v>
      </c>
      <c r="F49" s="78">
        <v>117826</v>
      </c>
      <c r="G49" s="78">
        <f>F49-H49</f>
        <v>82646</v>
      </c>
      <c r="H49" s="78">
        <v>35180</v>
      </c>
      <c r="I49" s="78">
        <f t="shared" ref="I49:I52" si="24">H49-J49</f>
        <v>23402</v>
      </c>
      <c r="J49" s="78">
        <v>11778</v>
      </c>
      <c r="K49" s="78">
        <v>162135</v>
      </c>
      <c r="L49" s="78">
        <f>K49-M49</f>
        <v>40211</v>
      </c>
      <c r="M49" s="78">
        <v>121924</v>
      </c>
      <c r="N49" s="78">
        <f>M49-O49</f>
        <v>32490</v>
      </c>
      <c r="O49" s="78">
        <v>89434</v>
      </c>
    </row>
    <row r="50" spans="1:15">
      <c r="A50" s="60" t="s">
        <v>154</v>
      </c>
      <c r="B50" s="78">
        <v>-107659</v>
      </c>
      <c r="C50" s="78">
        <v>-58083</v>
      </c>
      <c r="D50" s="78">
        <v>-158665</v>
      </c>
      <c r="E50" s="78">
        <f>D50-F50</f>
        <v>-40099</v>
      </c>
      <c r="F50" s="78">
        <v>-118566</v>
      </c>
      <c r="G50" s="78">
        <f>F50-H50</f>
        <v>-74985</v>
      </c>
      <c r="H50" s="78">
        <v>-43581</v>
      </c>
      <c r="I50" s="78">
        <f t="shared" si="24"/>
        <v>-26191</v>
      </c>
      <c r="J50" s="78">
        <v>-17390</v>
      </c>
      <c r="K50" s="78">
        <v>-76821</v>
      </c>
      <c r="L50" s="78">
        <f>K50-M50</f>
        <v>-17706</v>
      </c>
      <c r="M50" s="78">
        <v>-59115</v>
      </c>
      <c r="N50" s="78">
        <f>M50-O50</f>
        <v>-16195</v>
      </c>
      <c r="O50" s="78">
        <v>-42920</v>
      </c>
    </row>
    <row r="51" spans="1:15">
      <c r="A51" s="60" t="s">
        <v>155</v>
      </c>
      <c r="B51" s="78">
        <v>0</v>
      </c>
      <c r="C51" s="78">
        <v>0</v>
      </c>
      <c r="D51" s="78">
        <v>0</v>
      </c>
      <c r="E51" s="78">
        <f>D51-F51</f>
        <v>0</v>
      </c>
      <c r="F51" s="78">
        <v>0</v>
      </c>
      <c r="G51" s="78">
        <f>F51-H51</f>
        <v>0</v>
      </c>
      <c r="H51" s="78">
        <v>0</v>
      </c>
      <c r="I51" s="78">
        <f t="shared" si="24"/>
        <v>0</v>
      </c>
      <c r="J51" s="78">
        <v>0</v>
      </c>
      <c r="K51" s="78">
        <v>-31949</v>
      </c>
      <c r="L51" s="78">
        <f>K51-M51</f>
        <v>-9665</v>
      </c>
      <c r="M51" s="78">
        <v>-22284</v>
      </c>
      <c r="N51" s="78">
        <f>M51-O51</f>
        <v>-7088</v>
      </c>
      <c r="O51" s="78">
        <v>-15196</v>
      </c>
    </row>
    <row r="52" spans="1:15">
      <c r="A52" s="60" t="s">
        <v>156</v>
      </c>
      <c r="B52" s="78">
        <v>0</v>
      </c>
      <c r="C52" s="78">
        <v>0</v>
      </c>
      <c r="D52" s="78">
        <v>362</v>
      </c>
      <c r="E52" s="78">
        <f>D52-F52</f>
        <v>0</v>
      </c>
      <c r="F52" s="78">
        <v>362</v>
      </c>
      <c r="G52" s="78">
        <f>F52-H52</f>
        <v>0</v>
      </c>
      <c r="H52" s="78">
        <v>362</v>
      </c>
      <c r="I52" s="78">
        <f t="shared" si="24"/>
        <v>362</v>
      </c>
      <c r="J52" s="78">
        <v>0</v>
      </c>
      <c r="K52" s="78">
        <v>0</v>
      </c>
      <c r="L52" s="78">
        <f>K52-M52</f>
        <v>0</v>
      </c>
      <c r="M52" s="78">
        <v>0</v>
      </c>
      <c r="N52" s="78">
        <f>M52-O52</f>
        <v>0</v>
      </c>
      <c r="O52" s="78">
        <v>0</v>
      </c>
    </row>
    <row r="53" spans="1:15">
      <c r="A53" s="75" t="s">
        <v>157</v>
      </c>
      <c r="B53" s="81">
        <f>SUM(B49:B52)</f>
        <v>-44654</v>
      </c>
      <c r="C53" s="81">
        <f>SUM(C49:C52)</f>
        <v>-35605</v>
      </c>
      <c r="D53" s="81">
        <f>SUM(D49:D52)</f>
        <v>60757</v>
      </c>
      <c r="E53" s="81">
        <f t="shared" ref="E53:O53" si="25">SUM(E49:E52)</f>
        <v>61135</v>
      </c>
      <c r="F53" s="81">
        <f t="shared" si="25"/>
        <v>-378</v>
      </c>
      <c r="G53" s="81">
        <f t="shared" si="25"/>
        <v>7661</v>
      </c>
      <c r="H53" s="81">
        <f t="shared" si="25"/>
        <v>-8039</v>
      </c>
      <c r="I53" s="81">
        <f t="shared" si="25"/>
        <v>-2427</v>
      </c>
      <c r="J53" s="81">
        <f t="shared" si="25"/>
        <v>-5612</v>
      </c>
      <c r="K53" s="81">
        <f t="shared" si="25"/>
        <v>53365</v>
      </c>
      <c r="L53" s="81">
        <f t="shared" si="25"/>
        <v>12840</v>
      </c>
      <c r="M53" s="81">
        <f t="shared" si="25"/>
        <v>40525</v>
      </c>
      <c r="N53" s="81">
        <f t="shared" si="25"/>
        <v>9207</v>
      </c>
      <c r="O53" s="81">
        <f t="shared" si="25"/>
        <v>31318</v>
      </c>
    </row>
    <row r="54" spans="1:15">
      <c r="A54" s="6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1:15">
      <c r="A55" s="75" t="s">
        <v>158</v>
      </c>
      <c r="B55" s="81">
        <f>B33+B46+B53</f>
        <v>-56070</v>
      </c>
      <c r="C55" s="81">
        <f>C33+C46+C53</f>
        <v>-42215</v>
      </c>
      <c r="D55" s="81">
        <f>D33+D46+D53</f>
        <v>33204</v>
      </c>
      <c r="E55" s="81">
        <f t="shared" ref="E55:O55" si="26">E33+E46+E53</f>
        <v>32879</v>
      </c>
      <c r="F55" s="81">
        <f t="shared" si="26"/>
        <v>325</v>
      </c>
      <c r="G55" s="81">
        <f t="shared" si="26"/>
        <v>13852</v>
      </c>
      <c r="H55" s="81">
        <f t="shared" si="26"/>
        <v>-13527</v>
      </c>
      <c r="I55" s="81">
        <f t="shared" si="26"/>
        <v>130</v>
      </c>
      <c r="J55" s="81">
        <f t="shared" si="26"/>
        <v>-13657</v>
      </c>
      <c r="K55" s="81">
        <f t="shared" si="26"/>
        <v>34187</v>
      </c>
      <c r="L55" s="81">
        <f t="shared" si="26"/>
        <v>11839</v>
      </c>
      <c r="M55" s="81">
        <f t="shared" si="26"/>
        <v>22348</v>
      </c>
      <c r="N55" s="81">
        <f t="shared" si="26"/>
        <v>-9437</v>
      </c>
      <c r="O55" s="81">
        <f t="shared" si="26"/>
        <v>31785</v>
      </c>
    </row>
    <row r="56" spans="1:15">
      <c r="A56" s="6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O56" s="78"/>
    </row>
    <row r="57" spans="1:15">
      <c r="A57" s="75" t="s">
        <v>159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O57" s="78"/>
    </row>
    <row r="58" spans="1:15">
      <c r="A58" s="7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O58" s="78"/>
    </row>
    <row r="59" spans="1:15">
      <c r="A59" s="67" t="s">
        <v>160</v>
      </c>
      <c r="B59" s="78">
        <v>97754</v>
      </c>
      <c r="C59" s="78">
        <v>97754</v>
      </c>
      <c r="D59" s="78">
        <v>64550</v>
      </c>
      <c r="E59" s="78">
        <f>D59-F59</f>
        <v>0</v>
      </c>
      <c r="F59" s="78">
        <v>64550</v>
      </c>
      <c r="G59" s="78">
        <f>F59-H59</f>
        <v>0</v>
      </c>
      <c r="H59" s="78">
        <v>64550</v>
      </c>
      <c r="I59" s="78">
        <f>J60</f>
        <v>50893</v>
      </c>
      <c r="J59" s="78">
        <v>64550</v>
      </c>
      <c r="K59" s="78">
        <v>30363</v>
      </c>
      <c r="L59" s="78">
        <f>K59-M59</f>
        <v>0</v>
      </c>
      <c r="M59" s="78">
        <v>30363</v>
      </c>
      <c r="N59" s="78">
        <f>M59-O59</f>
        <v>0</v>
      </c>
      <c r="O59" s="78">
        <v>30363</v>
      </c>
    </row>
    <row r="60" spans="1:15">
      <c r="A60" s="67" t="s">
        <v>161</v>
      </c>
      <c r="B60" s="78">
        <v>41684</v>
      </c>
      <c r="C60" s="78">
        <v>55539</v>
      </c>
      <c r="D60" s="78">
        <v>97754</v>
      </c>
      <c r="E60" s="78">
        <f>D60-F60</f>
        <v>32879</v>
      </c>
      <c r="F60" s="78">
        <v>64875</v>
      </c>
      <c r="G60" s="78">
        <f>F60-H60</f>
        <v>13852</v>
      </c>
      <c r="H60" s="78">
        <v>51023</v>
      </c>
      <c r="I60" s="78">
        <f>H60</f>
        <v>51023</v>
      </c>
      <c r="J60" s="78">
        <v>50893</v>
      </c>
      <c r="K60" s="78">
        <v>64550</v>
      </c>
      <c r="L60" s="78">
        <f>K60-M60</f>
        <v>11839.328000000001</v>
      </c>
      <c r="M60" s="78">
        <v>52710.671999999999</v>
      </c>
      <c r="N60" s="78">
        <f>M60-O60</f>
        <v>-9437.4910000000018</v>
      </c>
      <c r="O60" s="78">
        <v>62148.163</v>
      </c>
    </row>
    <row r="61" spans="1:15" ht="13.5" thickBot="1">
      <c r="A61" s="75" t="s">
        <v>158</v>
      </c>
      <c r="B61" s="82">
        <f>B60-B59</f>
        <v>-56070</v>
      </c>
      <c r="C61" s="82">
        <f>C60-C59</f>
        <v>-42215</v>
      </c>
      <c r="D61" s="82">
        <f>D60-D59</f>
        <v>33204</v>
      </c>
      <c r="E61" s="82">
        <f t="shared" ref="E61:O61" si="27">E60-E59</f>
        <v>32879</v>
      </c>
      <c r="F61" s="82">
        <f t="shared" si="27"/>
        <v>325</v>
      </c>
      <c r="G61" s="82">
        <f t="shared" si="27"/>
        <v>13852</v>
      </c>
      <c r="H61" s="82">
        <f t="shared" si="27"/>
        <v>-13527</v>
      </c>
      <c r="I61" s="82">
        <f t="shared" si="27"/>
        <v>130</v>
      </c>
      <c r="J61" s="82">
        <f t="shared" si="27"/>
        <v>-13657</v>
      </c>
      <c r="K61" s="82">
        <f t="shared" si="27"/>
        <v>34187</v>
      </c>
      <c r="L61" s="82">
        <f t="shared" si="27"/>
        <v>11839.328000000001</v>
      </c>
      <c r="M61" s="82">
        <f t="shared" si="27"/>
        <v>22347.671999999999</v>
      </c>
      <c r="N61" s="82">
        <f t="shared" si="27"/>
        <v>-9437.4910000000018</v>
      </c>
      <c r="O61" s="82">
        <f t="shared" si="27"/>
        <v>31785.163</v>
      </c>
    </row>
    <row r="62" spans="1:15" ht="13.5" thickTop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156E-D677-43DA-8736-BE1E27626619}">
  <sheetPr>
    <tabColor rgb="FF92D050"/>
  </sheetPr>
  <dimension ref="A1:AF19"/>
  <sheetViews>
    <sheetView showGridLines="0" zoomScale="90" zoomScaleNormal="90" workbookViewId="0">
      <selection activeCell="E12" sqref="E12"/>
    </sheetView>
  </sheetViews>
  <sheetFormatPr defaultColWidth="8.85546875" defaultRowHeight="14.25"/>
  <cols>
    <col min="1" max="1" width="28.7109375" style="114" bestFit="1" customWidth="1"/>
    <col min="2" max="3" width="8.28515625" style="114" bestFit="1" customWidth="1"/>
    <col min="4" max="4" width="10.42578125" style="114" bestFit="1" customWidth="1"/>
    <col min="5" max="5" width="8.5703125" style="114" bestFit="1" customWidth="1"/>
    <col min="6" max="6" width="10.42578125" style="114" bestFit="1" customWidth="1"/>
    <col min="7" max="7" width="1.5703125" style="114" bestFit="1" customWidth="1"/>
    <col min="8" max="9" width="9.140625" style="114" bestFit="1" customWidth="1"/>
    <col min="10" max="10" width="10.42578125" style="114" bestFit="1" customWidth="1"/>
    <col min="11" max="11" width="5.7109375" style="114" bestFit="1" customWidth="1"/>
    <col min="12" max="12" width="24.7109375" style="114" bestFit="1" customWidth="1"/>
    <col min="13" max="13" width="9.28515625" style="114" bestFit="1" customWidth="1"/>
    <col min="14" max="14" width="5.7109375" style="103" bestFit="1" customWidth="1"/>
    <col min="15" max="15" width="24.7109375" style="103" bestFit="1" customWidth="1"/>
    <col min="16" max="16" width="16.140625" style="103" bestFit="1" customWidth="1"/>
    <col min="17" max="26" width="8.85546875" style="103"/>
    <col min="27" max="27" width="24.42578125" style="103" bestFit="1" customWidth="1"/>
    <col min="28" max="28" width="8.85546875" style="97" customWidth="1"/>
    <col min="29" max="16384" width="8.85546875" style="97"/>
  </cols>
  <sheetData>
    <row r="1" spans="1:32">
      <c r="A1" s="88"/>
      <c r="B1" s="89" t="e">
        <f>#REF!</f>
        <v>#REF!</v>
      </c>
      <c r="C1" s="89" t="e">
        <f>#REF!</f>
        <v>#REF!</v>
      </c>
      <c r="D1" s="90" t="s">
        <v>167</v>
      </c>
      <c r="E1" s="90" t="e">
        <f>#REF!</f>
        <v>#REF!</v>
      </c>
      <c r="F1" s="90" t="s">
        <v>168</v>
      </c>
      <c r="G1" s="94"/>
      <c r="H1" s="90" t="e">
        <f>#REF!</f>
        <v>#REF!</v>
      </c>
      <c r="I1" s="90" t="e">
        <f>#REF!</f>
        <v>#REF!</v>
      </c>
      <c r="J1" s="90" t="s">
        <v>168</v>
      </c>
    </row>
    <row r="2" spans="1:32">
      <c r="A2" s="91" t="str">
        <f>'1 Operacionais'!A27</f>
        <v>Vendas líquidas (em R$ mil)</v>
      </c>
      <c r="B2" s="92">
        <f>'1 Operacionais'!B22</f>
        <v>141263</v>
      </c>
      <c r="C2" s="92">
        <f>'1 Operacionais'!C22</f>
        <v>133525</v>
      </c>
      <c r="D2" s="93">
        <f>(B2/C2)-1</f>
        <v>5.7951694439243528E-2</v>
      </c>
      <c r="E2" s="92">
        <f>'1 Operacionais'!G22</f>
        <v>71424.936090000003</v>
      </c>
      <c r="F2" s="93">
        <f>(B2/E2)-1</f>
        <v>0.97778265873419268</v>
      </c>
      <c r="G2" s="3"/>
      <c r="H2" s="92">
        <f>'1 Operacionais'!B27+'1 Operacionais'!C27</f>
        <v>254665</v>
      </c>
      <c r="I2" s="92">
        <f>'1 Operacionais'!G27+'1 Operacionais'!H27</f>
        <v>124589.40012000001</v>
      </c>
      <c r="J2" s="93">
        <f>(H2/I2)-1</f>
        <v>1.044034241714912</v>
      </c>
    </row>
    <row r="3" spans="1:32">
      <c r="A3" s="91" t="str">
        <f>'1 Operacionais'!A28</f>
        <v xml:space="preserve">Unidades vendidas </v>
      </c>
      <c r="B3" s="92">
        <f>'1 Operacionais'!B23</f>
        <v>873</v>
      </c>
      <c r="C3" s="92">
        <f>'1 Operacionais'!C23</f>
        <v>884</v>
      </c>
      <c r="D3" s="93">
        <f>(B3/C3)-1</f>
        <v>-1.2443438914027105E-2</v>
      </c>
      <c r="E3" s="92">
        <f>'1 Operacionais'!G23</f>
        <v>481</v>
      </c>
      <c r="F3" s="93">
        <f t="shared" ref="F3" si="0">(B3/E3)-1</f>
        <v>0.81496881496881501</v>
      </c>
      <c r="G3" s="3"/>
      <c r="H3" s="92">
        <f>'1 Operacionais'!B28+'1 Operacionais'!C28</f>
        <v>1616</v>
      </c>
      <c r="I3" s="92">
        <f>'1 Operacionais'!G28+'1 Operacionais'!H28</f>
        <v>851</v>
      </c>
      <c r="J3" s="93">
        <f t="shared" ref="J3" si="1">(H3/I3)-1</f>
        <v>0.89894242068155106</v>
      </c>
    </row>
    <row r="4" spans="1:32">
      <c r="A4" s="111"/>
      <c r="B4" s="112"/>
      <c r="C4" s="112"/>
      <c r="D4" s="113"/>
      <c r="E4" s="112"/>
      <c r="F4" s="113"/>
      <c r="G4" s="3"/>
      <c r="H4" s="112"/>
      <c r="I4" s="112"/>
      <c r="J4" s="113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5"/>
      <c r="AC4" s="95"/>
      <c r="AD4" s="95"/>
      <c r="AE4" s="95"/>
      <c r="AF4" s="95"/>
    </row>
    <row r="5" spans="1:32">
      <c r="A5" s="111"/>
      <c r="B5" s="112"/>
      <c r="C5" s="112"/>
      <c r="D5" s="113"/>
      <c r="E5" s="112"/>
      <c r="F5" s="113"/>
      <c r="G5" s="3"/>
      <c r="H5" s="136"/>
      <c r="I5" s="136"/>
      <c r="J5" s="113"/>
      <c r="N5" s="114"/>
      <c r="O5" s="114"/>
      <c r="P5" s="114"/>
      <c r="Q5" s="114"/>
      <c r="R5" s="96"/>
      <c r="S5" s="96"/>
      <c r="T5" s="96"/>
      <c r="U5" s="96"/>
      <c r="V5" s="96"/>
      <c r="W5" s="96"/>
      <c r="X5" s="96"/>
      <c r="Y5" s="96"/>
      <c r="Z5" s="96"/>
      <c r="AA5" s="96"/>
      <c r="AB5" s="95"/>
      <c r="AC5" s="95"/>
      <c r="AD5" s="95"/>
      <c r="AE5" s="95"/>
      <c r="AF5" s="95"/>
    </row>
    <row r="6" spans="1:32">
      <c r="N6" s="114"/>
      <c r="O6" s="114"/>
      <c r="P6" s="114"/>
      <c r="Q6" s="114"/>
      <c r="R6" s="96"/>
      <c r="S6" s="96"/>
      <c r="T6" s="96"/>
      <c r="U6" s="96"/>
      <c r="V6" s="96"/>
      <c r="W6" s="96"/>
      <c r="X6" s="96"/>
      <c r="Y6" s="96"/>
      <c r="Z6" s="96"/>
      <c r="AA6" s="96"/>
      <c r="AB6" s="95"/>
      <c r="AC6" s="95"/>
      <c r="AD6" s="95"/>
      <c r="AE6" s="95"/>
      <c r="AF6" s="95"/>
    </row>
    <row r="7" spans="1:32">
      <c r="N7" s="114"/>
      <c r="O7" s="114"/>
      <c r="P7" s="114"/>
      <c r="Q7" s="114"/>
      <c r="R7" s="96"/>
      <c r="S7" s="96"/>
      <c r="T7" s="96"/>
      <c r="U7" s="96"/>
      <c r="V7" s="96"/>
      <c r="W7" s="96"/>
      <c r="X7" s="96"/>
      <c r="Y7" s="96"/>
      <c r="Z7" s="96"/>
      <c r="AA7" s="96"/>
      <c r="AB7" s="95"/>
      <c r="AC7" s="95"/>
      <c r="AD7" s="95"/>
      <c r="AE7" s="95"/>
      <c r="AF7" s="95"/>
    </row>
    <row r="8" spans="1:32">
      <c r="N8" s="114"/>
      <c r="O8" s="114"/>
      <c r="P8" s="114"/>
      <c r="Q8" s="114"/>
      <c r="R8" s="96"/>
      <c r="S8" s="96"/>
      <c r="T8" s="96"/>
      <c r="U8" s="96"/>
      <c r="V8" s="96"/>
      <c r="W8" s="96"/>
      <c r="X8" s="96"/>
      <c r="AB8" s="95"/>
      <c r="AC8" s="95"/>
      <c r="AD8" s="95"/>
      <c r="AE8" s="95"/>
      <c r="AF8" s="95"/>
    </row>
    <row r="9" spans="1:32">
      <c r="N9" s="114"/>
      <c r="O9" s="114"/>
      <c r="P9" s="114"/>
      <c r="Q9" s="114"/>
      <c r="R9" s="96"/>
      <c r="S9" s="96"/>
      <c r="T9" s="96"/>
      <c r="U9" s="96"/>
      <c r="V9" s="96"/>
      <c r="W9" s="96"/>
      <c r="X9" s="96"/>
      <c r="AB9" s="95"/>
      <c r="AC9" s="104"/>
      <c r="AD9" s="95"/>
      <c r="AE9" s="95"/>
      <c r="AF9" s="95"/>
    </row>
    <row r="10" spans="1:32">
      <c r="N10" s="114"/>
      <c r="O10" s="114"/>
      <c r="P10" s="114"/>
      <c r="Q10" s="114"/>
      <c r="R10" s="96"/>
      <c r="S10" s="96"/>
      <c r="T10" s="96"/>
      <c r="U10" s="96"/>
      <c r="V10" s="96"/>
      <c r="W10" s="96"/>
      <c r="X10" s="96"/>
      <c r="AC10" s="95"/>
      <c r="AD10" s="95"/>
      <c r="AE10" s="95"/>
      <c r="AF10" s="95"/>
    </row>
    <row r="11" spans="1:32">
      <c r="N11" s="114"/>
      <c r="O11" s="114"/>
      <c r="P11" s="114"/>
      <c r="Q11" s="114"/>
      <c r="R11" s="96"/>
      <c r="S11" s="96"/>
      <c r="T11" s="96"/>
      <c r="U11" s="96"/>
      <c r="V11" s="96"/>
      <c r="W11" s="96"/>
      <c r="X11" s="96"/>
      <c r="AC11" s="95"/>
      <c r="AD11" s="95"/>
      <c r="AE11" s="95"/>
      <c r="AF11" s="95"/>
    </row>
    <row r="12" spans="1:32">
      <c r="N12" s="114"/>
      <c r="O12" s="114"/>
      <c r="P12" s="114"/>
      <c r="Q12" s="114"/>
      <c r="R12" s="96"/>
      <c r="S12" s="96"/>
      <c r="T12" s="96"/>
      <c r="U12" s="96"/>
      <c r="V12" s="96"/>
      <c r="W12" s="96"/>
      <c r="X12" s="96"/>
      <c r="AC12" s="95"/>
      <c r="AD12" s="95"/>
      <c r="AE12" s="95"/>
      <c r="AF12" s="95"/>
    </row>
    <row r="13" spans="1:32">
      <c r="N13" s="114"/>
      <c r="O13" s="114"/>
      <c r="P13" s="114"/>
      <c r="Q13" s="114"/>
      <c r="R13" s="96"/>
      <c r="S13" s="96"/>
      <c r="T13" s="96"/>
      <c r="U13" s="96"/>
      <c r="V13" s="96"/>
      <c r="W13" s="96"/>
      <c r="X13" s="96"/>
      <c r="AC13" s="95"/>
      <c r="AD13" s="95"/>
      <c r="AE13" s="95"/>
      <c r="AF13" s="95"/>
    </row>
    <row r="14" spans="1:32">
      <c r="N14" s="114"/>
      <c r="O14" s="114"/>
      <c r="P14" s="114"/>
      <c r="Q14" s="114"/>
      <c r="R14" s="96"/>
      <c r="S14" s="96"/>
      <c r="T14" s="96"/>
      <c r="U14" s="96"/>
      <c r="V14" s="96"/>
      <c r="W14" s="96"/>
      <c r="X14" s="96"/>
      <c r="AC14" s="95"/>
      <c r="AD14" s="95"/>
      <c r="AE14" s="95"/>
      <c r="AF14" s="95"/>
    </row>
    <row r="15" spans="1:32">
      <c r="N15" s="114"/>
      <c r="O15" s="114"/>
      <c r="P15" s="114"/>
      <c r="Q15" s="114"/>
      <c r="R15" s="96"/>
      <c r="S15" s="96"/>
      <c r="T15" s="96"/>
      <c r="U15" s="96"/>
      <c r="V15" s="96"/>
      <c r="W15" s="96"/>
      <c r="X15" s="96"/>
      <c r="AC15" s="95"/>
      <c r="AD15" s="95"/>
      <c r="AE15" s="95"/>
      <c r="AF15" s="95"/>
    </row>
    <row r="16" spans="1:32">
      <c r="N16" s="114"/>
      <c r="O16" s="114"/>
      <c r="P16" s="114"/>
      <c r="Q16" s="114"/>
      <c r="R16" s="96"/>
      <c r="S16" s="96"/>
      <c r="T16" s="96"/>
      <c r="U16" s="96"/>
      <c r="V16" s="96"/>
      <c r="W16" s="96"/>
      <c r="X16" s="96"/>
      <c r="AC16" s="95"/>
      <c r="AD16" s="95"/>
      <c r="AE16" s="95"/>
      <c r="AF16" s="95"/>
    </row>
    <row r="17" spans="14:32">
      <c r="N17" s="114"/>
      <c r="O17" s="114"/>
      <c r="P17" s="114"/>
      <c r="Q17" s="114"/>
      <c r="R17" s="96"/>
      <c r="S17" s="96"/>
      <c r="T17" s="96"/>
      <c r="U17" s="96"/>
      <c r="V17" s="96"/>
      <c r="W17" s="96"/>
      <c r="X17" s="96"/>
      <c r="Y17" s="96"/>
      <c r="AC17" s="95"/>
      <c r="AD17" s="95"/>
      <c r="AE17" s="95"/>
      <c r="AF17" s="95"/>
    </row>
    <row r="18" spans="14:32">
      <c r="N18" s="114"/>
      <c r="O18" s="114"/>
      <c r="P18" s="114"/>
      <c r="Q18" s="114"/>
    </row>
    <row r="19" spans="14:32">
      <c r="N19" s="114"/>
      <c r="O19" s="114"/>
      <c r="P19" s="114"/>
      <c r="Q19" s="11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48B5-DEAE-4C2F-A9DD-63897422E7E0}">
  <sheetPr>
    <tabColor rgb="FFFFFF00"/>
  </sheetPr>
  <dimension ref="A5:V18"/>
  <sheetViews>
    <sheetView showGridLines="0" zoomScale="90" zoomScaleNormal="90" workbookViewId="0">
      <selection sqref="A1:J6"/>
    </sheetView>
  </sheetViews>
  <sheetFormatPr defaultColWidth="8.85546875" defaultRowHeight="14.25"/>
  <cols>
    <col min="1" max="1" width="23.5703125" style="97" bestFit="1" customWidth="1"/>
    <col min="2" max="2" width="31.7109375" style="97" bestFit="1" customWidth="1"/>
    <col min="3" max="3" width="13.7109375" style="97" bestFit="1" customWidth="1"/>
    <col min="4" max="4" width="14" style="103" bestFit="1" customWidth="1"/>
    <col min="5" max="16" width="8.85546875" style="103"/>
    <col min="17" max="17" width="24.42578125" style="103" bestFit="1" customWidth="1"/>
    <col min="18" max="18" width="8.85546875" style="97" customWidth="1"/>
    <col min="19" max="16384" width="8.85546875" style="97"/>
  </cols>
  <sheetData>
    <row r="5" spans="1:22">
      <c r="A5" s="95"/>
      <c r="B5" s="95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5"/>
      <c r="S5" s="95"/>
      <c r="T5" s="95"/>
      <c r="U5" s="95"/>
      <c r="V5" s="95"/>
    </row>
    <row r="6" spans="1:22">
      <c r="A6" s="98" t="s">
        <v>169</v>
      </c>
      <c r="B6" s="99" t="s">
        <v>170</v>
      </c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5"/>
      <c r="S6" s="95"/>
      <c r="T6" s="95"/>
      <c r="U6" s="95"/>
      <c r="V6" s="95"/>
    </row>
    <row r="7" spans="1:22" ht="15">
      <c r="A7" s="100"/>
      <c r="B7" s="101"/>
      <c r="C7" s="102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5"/>
      <c r="S7" s="95"/>
      <c r="T7" s="95"/>
      <c r="U7" s="95"/>
      <c r="V7" s="95"/>
    </row>
    <row r="8" spans="1:22" ht="15">
      <c r="A8" s="100"/>
      <c r="B8" s="101"/>
      <c r="C8" s="102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5"/>
      <c r="S8" s="95"/>
      <c r="T8" s="95"/>
      <c r="U8" s="95"/>
      <c r="V8" s="95"/>
    </row>
    <row r="9" spans="1:22" ht="15">
      <c r="A9" s="100" t="s">
        <v>15</v>
      </c>
      <c r="B9" s="101">
        <f>'1 Operacionais'!$M$29</f>
        <v>134584.05156118143</v>
      </c>
      <c r="C9" s="102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R9" s="95"/>
      <c r="S9" s="95"/>
      <c r="T9" s="95"/>
      <c r="U9" s="95"/>
      <c r="V9" s="95"/>
    </row>
    <row r="10" spans="1:22" ht="15">
      <c r="A10" s="100" t="s">
        <v>14</v>
      </c>
      <c r="B10" s="101">
        <f>'1 Operacionais'!$L$29</f>
        <v>129313.67474264704</v>
      </c>
      <c r="C10" s="102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R10" s="95"/>
      <c r="S10" s="104"/>
      <c r="T10" s="95"/>
      <c r="U10" s="95"/>
      <c r="V10" s="95"/>
    </row>
    <row r="11" spans="1:22" ht="15">
      <c r="A11" s="100" t="s">
        <v>13</v>
      </c>
      <c r="B11" s="101">
        <f>'1 Operacionais'!$K$29</f>
        <v>128246.14406113536</v>
      </c>
      <c r="C11" s="102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S11" s="95"/>
      <c r="T11" s="95"/>
      <c r="U11" s="95"/>
      <c r="V11" s="95"/>
    </row>
    <row r="12" spans="1:22" ht="15">
      <c r="A12" s="100" t="s">
        <v>12</v>
      </c>
      <c r="B12" s="101">
        <f>'1 Operacionais'!$J$29</f>
        <v>130500.39735027221</v>
      </c>
      <c r="C12" s="102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S12" s="95"/>
      <c r="T12" s="95"/>
      <c r="U12" s="95"/>
      <c r="V12" s="95"/>
    </row>
    <row r="13" spans="1:22" ht="15">
      <c r="A13" s="100" t="s">
        <v>1</v>
      </c>
      <c r="B13" s="101">
        <f>'1 Operacionais'!$H$29</f>
        <v>140520.20723926381</v>
      </c>
      <c r="C13" s="102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S13" s="95"/>
      <c r="T13" s="95"/>
      <c r="U13" s="95"/>
      <c r="V13" s="95"/>
    </row>
    <row r="14" spans="1:22" ht="15">
      <c r="A14" s="100" t="s">
        <v>30</v>
      </c>
      <c r="B14" s="101">
        <f>'1 Operacionais'!$G$29</f>
        <v>154350.88060773481</v>
      </c>
      <c r="C14" s="102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S14" s="95"/>
      <c r="T14" s="95"/>
      <c r="U14" s="95"/>
      <c r="V14" s="95"/>
    </row>
    <row r="15" spans="1:22" ht="15">
      <c r="A15" s="100" t="s">
        <v>31</v>
      </c>
      <c r="B15" s="101">
        <f>'1 Operacionais'!$F$29</f>
        <v>174648.46392543855</v>
      </c>
      <c r="C15" s="102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S15" s="95"/>
      <c r="T15" s="95"/>
      <c r="U15" s="95"/>
      <c r="V15" s="95"/>
    </row>
    <row r="16" spans="1:22" ht="15">
      <c r="A16" s="100" t="s">
        <v>36</v>
      </c>
      <c r="B16" s="101">
        <f>'1 Operacionais'!$E$29</f>
        <v>151169.52696721314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S16" s="95"/>
      <c r="T16" s="95"/>
      <c r="U16" s="95"/>
      <c r="V16" s="95"/>
    </row>
    <row r="17" spans="1:22">
      <c r="A17" s="95"/>
      <c r="B17" s="95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S17" s="95"/>
      <c r="T17" s="95"/>
      <c r="U17" s="95"/>
      <c r="V17" s="95"/>
    </row>
    <row r="18" spans="1:22">
      <c r="A18" s="95"/>
      <c r="B18" s="95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S18" s="95"/>
      <c r="T18" s="95"/>
      <c r="U18" s="95"/>
      <c r="V18" s="9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7C8A-F5DC-4AAE-A7EC-7F5BBB567D43}">
  <sheetPr>
    <tabColor rgb="FFFFFF00"/>
  </sheetPr>
  <dimension ref="A5:V18"/>
  <sheetViews>
    <sheetView showGridLines="0" zoomScale="90" zoomScaleNormal="90" workbookViewId="0">
      <selection sqref="A1:J6"/>
    </sheetView>
  </sheetViews>
  <sheetFormatPr defaultColWidth="8.85546875" defaultRowHeight="14.25"/>
  <cols>
    <col min="1" max="1" width="23.5703125" style="97" bestFit="1" customWidth="1"/>
    <col min="2" max="2" width="31.7109375" style="97" bestFit="1" customWidth="1"/>
    <col min="3" max="3" width="13.7109375" style="97" bestFit="1" customWidth="1"/>
    <col min="4" max="4" width="14" style="103" bestFit="1" customWidth="1"/>
    <col min="5" max="16" width="8.85546875" style="103"/>
    <col min="17" max="17" width="24.42578125" style="103" bestFit="1" customWidth="1"/>
    <col min="18" max="18" width="8.85546875" style="97" customWidth="1"/>
    <col min="19" max="16384" width="8.85546875" style="97"/>
  </cols>
  <sheetData>
    <row r="5" spans="1:22">
      <c r="A5" s="95"/>
      <c r="B5" s="95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5"/>
      <c r="S5" s="95"/>
      <c r="T5" s="95"/>
      <c r="U5" s="95"/>
      <c r="V5" s="95"/>
    </row>
    <row r="6" spans="1:22">
      <c r="A6" s="98" t="s">
        <v>169</v>
      </c>
      <c r="B6" s="99" t="s">
        <v>175</v>
      </c>
      <c r="C6" s="99" t="s">
        <v>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5"/>
      <c r="S6" s="95"/>
      <c r="T6" s="95"/>
      <c r="U6" s="95"/>
      <c r="V6" s="95"/>
    </row>
    <row r="7" spans="1:22" ht="15">
      <c r="A7" s="100" t="s">
        <v>20</v>
      </c>
      <c r="B7" s="101">
        <f>'1 Operacionais'!$R$34</f>
        <v>153072</v>
      </c>
      <c r="C7" s="101">
        <f>'1 Operacionais'!$R$35</f>
        <v>900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5"/>
      <c r="S7" s="95"/>
      <c r="T7" s="95"/>
      <c r="U7" s="95"/>
      <c r="V7" s="95"/>
    </row>
    <row r="8" spans="1:22" ht="15">
      <c r="A8" s="100" t="s">
        <v>19</v>
      </c>
      <c r="B8" s="101">
        <f>'1 Operacionais'!$Q$34</f>
        <v>109363</v>
      </c>
      <c r="C8" s="101">
        <f>'1 Operacionais'!$Q$35</f>
        <v>564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5"/>
      <c r="S8" s="95"/>
      <c r="T8" s="95"/>
      <c r="U8" s="95"/>
      <c r="V8" s="95"/>
    </row>
    <row r="9" spans="1:22" ht="15">
      <c r="A9" s="100" t="s">
        <v>18</v>
      </c>
      <c r="B9" s="101">
        <f>'1 Operacionais'!$P$34</f>
        <v>23200</v>
      </c>
      <c r="C9" s="101">
        <f>'1 Operacionais'!$P$35</f>
        <v>160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R9" s="95"/>
      <c r="S9" s="95"/>
      <c r="T9" s="95"/>
      <c r="U9" s="95"/>
      <c r="V9" s="95"/>
    </row>
    <row r="10" spans="1:22" ht="15">
      <c r="A10" s="100" t="s">
        <v>17</v>
      </c>
      <c r="B10" s="101">
        <f>'1 Operacionais'!$O$34</f>
        <v>40499.800000000003</v>
      </c>
      <c r="C10" s="101">
        <f>'1 Operacionais'!$O$35</f>
        <v>306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R10" s="95"/>
      <c r="S10" s="104"/>
      <c r="T10" s="95"/>
      <c r="U10" s="95"/>
      <c r="V10" s="95"/>
    </row>
    <row r="11" spans="1:22" ht="15">
      <c r="A11" s="100" t="s">
        <v>15</v>
      </c>
      <c r="B11" s="101">
        <f>'1 Operacionais'!$M$34</f>
        <v>62040</v>
      </c>
      <c r="C11" s="101">
        <f>'1 Operacionais'!$M$35</f>
        <v>360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S11" s="95"/>
      <c r="T11" s="95"/>
      <c r="U11" s="95"/>
      <c r="V11" s="95"/>
    </row>
    <row r="12" spans="1:22" ht="15">
      <c r="A12" s="100" t="s">
        <v>14</v>
      </c>
      <c r="B12" s="101">
        <f>'1 Operacionais'!$L$34</f>
        <v>134791.6</v>
      </c>
      <c r="C12" s="101">
        <f>'1 Operacionais'!$L$35</f>
        <v>804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S12" s="95"/>
      <c r="T12" s="95"/>
      <c r="U12" s="95"/>
      <c r="V12" s="95"/>
    </row>
    <row r="13" spans="1:22" ht="15">
      <c r="A13" s="100" t="s">
        <v>13</v>
      </c>
      <c r="B13" s="101">
        <f>'1 Operacionais'!$K$34</f>
        <v>186555.4</v>
      </c>
      <c r="C13" s="101">
        <f>'1 Operacionais'!$K$35</f>
        <v>1164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S13" s="95"/>
      <c r="T13" s="95"/>
      <c r="U13" s="95"/>
      <c r="V13" s="95"/>
    </row>
    <row r="14" spans="1:22" ht="15">
      <c r="A14" s="100" t="s">
        <v>12</v>
      </c>
      <c r="B14" s="101">
        <f>'1 Operacionais'!$J$34</f>
        <v>0</v>
      </c>
      <c r="C14" s="101">
        <f>'1 Operacionais'!$J$35</f>
        <v>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S14" s="95"/>
      <c r="T14" s="95"/>
      <c r="U14" s="95"/>
      <c r="V14" s="95"/>
    </row>
    <row r="15" spans="1:22" ht="15">
      <c r="A15" s="100" t="s">
        <v>1</v>
      </c>
      <c r="B15" s="101">
        <f>'1 Operacionais'!$H$34</f>
        <v>133821.20000000001</v>
      </c>
      <c r="C15" s="101">
        <f>'1 Operacionais'!$H$35</f>
        <v>796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S15" s="95"/>
      <c r="T15" s="95"/>
      <c r="U15" s="95"/>
      <c r="V15" s="95"/>
    </row>
    <row r="16" spans="1:22" ht="15">
      <c r="A16" s="100" t="s">
        <v>30</v>
      </c>
      <c r="B16" s="101">
        <f>'1 Operacionais'!$G$34</f>
        <v>402925.5</v>
      </c>
      <c r="C16" s="101">
        <f>'1 Operacionais'!$G$35</f>
        <v>1916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S16" s="95"/>
      <c r="T16" s="95"/>
      <c r="U16" s="95"/>
      <c r="V16" s="95"/>
    </row>
    <row r="17" spans="1:22" ht="15">
      <c r="A17" s="100" t="s">
        <v>31</v>
      </c>
      <c r="B17" s="101">
        <f>'1 Operacionais'!$F$34</f>
        <v>0</v>
      </c>
      <c r="C17" s="101">
        <f>'1 Operacionais'!$F$35</f>
        <v>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S17" s="95"/>
      <c r="T17" s="95"/>
      <c r="U17" s="95"/>
      <c r="V17" s="95"/>
    </row>
    <row r="18" spans="1:22" ht="15">
      <c r="A18" s="100" t="s">
        <v>36</v>
      </c>
      <c r="B18" s="101">
        <f>'1 Operacionais'!$E$34</f>
        <v>50327</v>
      </c>
      <c r="C18" s="101">
        <f>'1 Operacionais'!$E$35</f>
        <v>296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S18" s="95"/>
      <c r="T18" s="95"/>
      <c r="U18" s="95"/>
      <c r="V18" s="9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Covenants</vt:lpstr>
      <vt:lpstr>1 Operacionais</vt:lpstr>
      <vt:lpstr>2 Ativos</vt:lpstr>
      <vt:lpstr>3 Passivos</vt:lpstr>
      <vt:lpstr>4 DRE</vt:lpstr>
      <vt:lpstr>5 DFC</vt:lpstr>
      <vt:lpstr>Vendas Brutas</vt:lpstr>
      <vt:lpstr>Ticket médio MCMV</vt:lpstr>
      <vt:lpstr>Contratações</vt:lpstr>
      <vt:lpstr>4 gráficos (2)</vt:lpstr>
      <vt:lpstr>4 gráficos</vt:lpstr>
      <vt:lpstr>Despesas Comerciais</vt:lpstr>
      <vt:lpstr>Despesas Administrativas</vt:lpstr>
    </vt:vector>
  </TitlesOfParts>
  <Company>InterConstrutora e Incorporadora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Antunes</dc:creator>
  <cp:lastModifiedBy>Adilson Campos</cp:lastModifiedBy>
  <dcterms:created xsi:type="dcterms:W3CDTF">2020-06-26T17:36:57Z</dcterms:created>
  <dcterms:modified xsi:type="dcterms:W3CDTF">2021-08-24T20:32:08Z</dcterms:modified>
</cp:coreProperties>
</file>